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vgenyg\АНО ИДПО МФЦ\ФРП - FEFLP-QCBS-3.37-1\! методические рекомендации 3.37\"/>
    </mc:Choice>
  </mc:AlternateContent>
  <bookViews>
    <workbookView xWindow="0" yWindow="516" windowWidth="22980" windowHeight="9636"/>
  </bookViews>
  <sheets>
    <sheet name="ФП" sheetId="1" r:id="rId1"/>
    <sheet name="Банки" sheetId="6" r:id="rId2"/>
    <sheet name="ФР" sheetId="7" r:id="rId3"/>
    <sheet name="ИИС " sheetId="14" r:id="rId4"/>
    <sheet name="СО" sheetId="3" r:id="rId5"/>
    <sheet name="Налоги" sheetId="4" r:id="rId6"/>
    <sheet name="Пенсии " sheetId="12" r:id="rId7"/>
    <sheet name="Права" sheetId="10" r:id="rId8"/>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7" i="7" l="1"/>
  <c r="J104" i="7" s="1"/>
  <c r="H95" i="7"/>
  <c r="G95" i="7"/>
  <c r="F95" i="7"/>
  <c r="E95" i="7"/>
  <c r="D95" i="7"/>
  <c r="C95" i="7"/>
  <c r="I103" i="7" l="1"/>
  <c r="U115" i="7"/>
  <c r="U116" i="7" s="1"/>
  <c r="U118" i="7" s="1"/>
  <c r="L80" i="6" l="1"/>
  <c r="O82" i="6" s="1"/>
  <c r="O84" i="6" s="1"/>
  <c r="L78" i="6"/>
  <c r="O86" i="6" l="1"/>
  <c r="D39" i="14"/>
  <c r="D37" i="14"/>
  <c r="D36" i="14"/>
  <c r="D34" i="14"/>
  <c r="E33" i="14"/>
  <c r="D31" i="14"/>
  <c r="D29" i="14"/>
  <c r="M28" i="14"/>
  <c r="L28" i="14"/>
  <c r="E28" i="14"/>
  <c r="F28" i="14" s="1"/>
  <c r="M27" i="14"/>
  <c r="L27" i="14"/>
  <c r="M26" i="14"/>
  <c r="L26" i="14"/>
  <c r="H26" i="14"/>
  <c r="J26" i="14" s="1"/>
  <c r="D26" i="14"/>
  <c r="D25" i="14"/>
  <c r="F23" i="14"/>
  <c r="D23" i="14"/>
  <c r="F27" i="14" s="1"/>
  <c r="I14" i="14"/>
  <c r="I19" i="14" s="1"/>
  <c r="A12" i="14"/>
  <c r="H28" i="14" s="1"/>
  <c r="J28" i="14" s="1"/>
  <c r="O28" i="14" s="1"/>
  <c r="I11" i="14"/>
  <c r="N27" i="14" s="1"/>
  <c r="B10" i="14"/>
  <c r="I9" i="14"/>
  <c r="A9" i="14"/>
  <c r="H27" i="14" s="1"/>
  <c r="J27" i="14" s="1"/>
  <c r="O27" i="14" s="1"/>
  <c r="B7" i="14"/>
  <c r="O26" i="14" l="1"/>
  <c r="N26" i="14"/>
  <c r="F30" i="14"/>
  <c r="F33" i="14"/>
  <c r="F38" i="14"/>
  <c r="F32" i="14"/>
  <c r="I31" i="14" s="1"/>
  <c r="F35" i="14"/>
  <c r="I16" i="14"/>
  <c r="N28" i="14" s="1"/>
  <c r="B13" i="14"/>
  <c r="B14" i="14" s="1"/>
  <c r="E36" i="14" l="1"/>
  <c r="F36" i="14" s="1"/>
  <c r="E25" i="14"/>
  <c r="F25" i="14" s="1"/>
  <c r="E37" i="14"/>
  <c r="F37" i="14" s="1"/>
  <c r="E34" i="14"/>
  <c r="F34" i="14" s="1"/>
  <c r="E31" i="14"/>
  <c r="F31" i="14" s="1"/>
  <c r="E29" i="14"/>
  <c r="F29" i="14" s="1"/>
  <c r="E26" i="14"/>
  <c r="F26" i="14" s="1"/>
  <c r="E39" i="14"/>
  <c r="F39" i="14" s="1"/>
  <c r="I32" i="14" l="1"/>
  <c r="I34" i="14" s="1"/>
  <c r="P16" i="12" l="1"/>
  <c r="P14" i="12"/>
  <c r="P11" i="12"/>
  <c r="A21" i="12"/>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219" i="12" s="1"/>
  <c r="A220" i="12" s="1"/>
  <c r="A221" i="12" s="1"/>
  <c r="A222" i="12" s="1"/>
  <c r="A223" i="12" s="1"/>
  <c r="A224" i="12" s="1"/>
  <c r="A225" i="12" s="1"/>
  <c r="A226" i="12" s="1"/>
  <c r="A227" i="12" s="1"/>
  <c r="A228" i="12" s="1"/>
  <c r="A229" i="12" s="1"/>
  <c r="A230" i="12" s="1"/>
  <c r="A231" i="12" s="1"/>
  <c r="A232" i="12" s="1"/>
  <c r="A233" i="12" s="1"/>
  <c r="A234" i="12" s="1"/>
  <c r="A235" i="12" s="1"/>
  <c r="A236" i="12" s="1"/>
  <c r="A237" i="12" s="1"/>
  <c r="A238" i="12" s="1"/>
  <c r="A239" i="12" s="1"/>
  <c r="A240" i="12" s="1"/>
  <c r="A241" i="12" s="1"/>
  <c r="A242" i="12" s="1"/>
  <c r="A243" i="12" s="1"/>
  <c r="A244" i="12" s="1"/>
  <c r="A245" i="12" s="1"/>
  <c r="A246" i="12" s="1"/>
  <c r="A247" i="12" s="1"/>
  <c r="A248" i="12" s="1"/>
  <c r="A249" i="12" s="1"/>
  <c r="A250" i="12" s="1"/>
  <c r="A251" i="12" s="1"/>
  <c r="A252" i="12" s="1"/>
  <c r="A253" i="12" s="1"/>
  <c r="A254" i="12" s="1"/>
  <c r="A255" i="12" s="1"/>
  <c r="A256" i="12" s="1"/>
  <c r="A257" i="12" s="1"/>
  <c r="A258" i="12" s="1"/>
  <c r="A259" i="12" s="1"/>
  <c r="A260" i="12" s="1"/>
  <c r="A261" i="12" s="1"/>
  <c r="A262" i="12" s="1"/>
  <c r="A263" i="12" s="1"/>
  <c r="A264" i="12" s="1"/>
  <c r="A265" i="12" s="1"/>
  <c r="A266" i="12" s="1"/>
  <c r="A267" i="12" s="1"/>
  <c r="A268" i="12" s="1"/>
  <c r="A269" i="12" s="1"/>
  <c r="A270" i="12" s="1"/>
  <c r="A271" i="12" s="1"/>
  <c r="A272" i="12" s="1"/>
  <c r="A273" i="12" s="1"/>
  <c r="A274" i="12" s="1"/>
  <c r="A275" i="12" s="1"/>
  <c r="A276" i="12" s="1"/>
  <c r="A277" i="12" s="1"/>
  <c r="A278" i="12" s="1"/>
  <c r="A279" i="12" s="1"/>
  <c r="A280" i="12" s="1"/>
  <c r="A281" i="12" s="1"/>
  <c r="A282" i="12" s="1"/>
  <c r="A283" i="12" s="1"/>
  <c r="A284" i="12" s="1"/>
  <c r="A285" i="12" s="1"/>
  <c r="A286" i="12" s="1"/>
  <c r="A287" i="12" s="1"/>
  <c r="A288" i="12" s="1"/>
  <c r="A289" i="12" s="1"/>
  <c r="A290" i="12" s="1"/>
  <c r="A291" i="12" s="1"/>
  <c r="A292" i="12" s="1"/>
  <c r="A293" i="12" s="1"/>
  <c r="A294" i="12" s="1"/>
  <c r="A295" i="12" s="1"/>
  <c r="A296" i="12" s="1"/>
  <c r="A297" i="12" s="1"/>
  <c r="A298" i="12" s="1"/>
  <c r="A299" i="12" s="1"/>
  <c r="A300" i="12" s="1"/>
  <c r="A301" i="12" s="1"/>
  <c r="A302" i="12" s="1"/>
  <c r="A303" i="12" s="1"/>
  <c r="A304" i="12" s="1"/>
  <c r="A305" i="12" s="1"/>
  <c r="A306" i="12" s="1"/>
  <c r="A307" i="12" s="1"/>
  <c r="A308" i="12" s="1"/>
  <c r="A309" i="12" s="1"/>
  <c r="A310" i="12" s="1"/>
  <c r="A311" i="12" s="1"/>
  <c r="A312" i="12" s="1"/>
  <c r="A313" i="12" s="1"/>
  <c r="A314" i="12" s="1"/>
  <c r="A315" i="12" s="1"/>
  <c r="A316" i="12" s="1"/>
  <c r="A317" i="12" s="1"/>
  <c r="A318" i="12" s="1"/>
  <c r="A319" i="12" s="1"/>
  <c r="A320" i="12" s="1"/>
  <c r="A321" i="12" s="1"/>
  <c r="A322" i="12" s="1"/>
  <c r="A323" i="12" s="1"/>
  <c r="A324" i="12" s="1"/>
  <c r="A325" i="12" s="1"/>
  <c r="A326" i="12" s="1"/>
  <c r="A327" i="12" s="1"/>
  <c r="A328" i="12" s="1"/>
  <c r="A329" i="12" s="1"/>
  <c r="A330" i="12" s="1"/>
  <c r="A331" i="12" s="1"/>
  <c r="A332" i="12" s="1"/>
  <c r="A333" i="12" s="1"/>
  <c r="A334" i="12" s="1"/>
  <c r="A335" i="12" s="1"/>
  <c r="A336" i="12" s="1"/>
  <c r="A337" i="12" s="1"/>
  <c r="A338" i="12" s="1"/>
  <c r="A339" i="12" s="1"/>
  <c r="A340" i="12" s="1"/>
  <c r="A341" i="12" s="1"/>
  <c r="A342" i="12" s="1"/>
  <c r="A343" i="12" s="1"/>
  <c r="A344" i="12" s="1"/>
  <c r="A345" i="12" s="1"/>
  <c r="A346" i="12" s="1"/>
  <c r="A347" i="12" s="1"/>
  <c r="A348" i="12" s="1"/>
  <c r="A349" i="12" s="1"/>
  <c r="A350" i="12" s="1"/>
  <c r="A351" i="12" s="1"/>
  <c r="A352" i="12" s="1"/>
  <c r="A353" i="12" s="1"/>
  <c r="A354" i="12" s="1"/>
  <c r="A355" i="12" s="1"/>
  <c r="A356" i="12" s="1"/>
  <c r="A357" i="12" s="1"/>
  <c r="A358" i="12" s="1"/>
  <c r="A359" i="12" s="1"/>
  <c r="A360" i="12" s="1"/>
  <c r="A361" i="12" s="1"/>
  <c r="A362" i="12" s="1"/>
  <c r="A363" i="12" s="1"/>
  <c r="A364" i="12" s="1"/>
  <c r="A365" i="12" s="1"/>
  <c r="A366" i="12" s="1"/>
  <c r="A367" i="12" s="1"/>
  <c r="A368" i="12" s="1"/>
  <c r="A369" i="12" s="1"/>
  <c r="A370" i="12" s="1"/>
  <c r="A371" i="12" s="1"/>
  <c r="A372" i="12" s="1"/>
  <c r="A373" i="12" s="1"/>
  <c r="A374" i="12" s="1"/>
  <c r="A375" i="12" s="1"/>
  <c r="A376" i="12" s="1"/>
  <c r="A377" i="12" s="1"/>
  <c r="A378" i="12" s="1"/>
  <c r="A379" i="12" s="1"/>
  <c r="A380" i="12" s="1"/>
  <c r="A381" i="12" s="1"/>
  <c r="A382" i="12" s="1"/>
  <c r="A383" i="12" s="1"/>
  <c r="A384" i="12" s="1"/>
  <c r="A385" i="12" s="1"/>
  <c r="A386" i="12" s="1"/>
  <c r="A387" i="12" s="1"/>
  <c r="A388" i="12" s="1"/>
  <c r="A389" i="12" s="1"/>
  <c r="A390" i="12" s="1"/>
  <c r="A391" i="12" s="1"/>
  <c r="A392" i="12" s="1"/>
  <c r="A393" i="12" s="1"/>
  <c r="A394" i="12" s="1"/>
  <c r="A395" i="12" s="1"/>
  <c r="A396" i="12" s="1"/>
  <c r="A397" i="12" s="1"/>
  <c r="A398" i="12" s="1"/>
  <c r="A399" i="12" s="1"/>
  <c r="A400" i="12" s="1"/>
  <c r="A401" i="12" s="1"/>
  <c r="A402" i="12" s="1"/>
  <c r="A403" i="12" s="1"/>
  <c r="A404" i="12" s="1"/>
  <c r="A405" i="12" s="1"/>
  <c r="A406" i="12" s="1"/>
  <c r="A407" i="12" s="1"/>
  <c r="A408" i="12" s="1"/>
  <c r="A409" i="12" s="1"/>
  <c r="A410" i="12" s="1"/>
  <c r="A411" i="12" s="1"/>
  <c r="A412" i="12" s="1"/>
  <c r="A413" i="12" s="1"/>
  <c r="A414" i="12" s="1"/>
  <c r="A415" i="12" s="1"/>
  <c r="A416" i="12" s="1"/>
  <c r="A417" i="12" s="1"/>
  <c r="A418" i="12" s="1"/>
  <c r="A419" i="12" s="1"/>
  <c r="A420" i="12" s="1"/>
  <c r="A421" i="12" s="1"/>
  <c r="A422" i="12" s="1"/>
  <c r="A423" i="12" s="1"/>
  <c r="A424" i="12" s="1"/>
  <c r="A425" i="12" s="1"/>
  <c r="A426" i="12" s="1"/>
  <c r="A427" i="12" s="1"/>
  <c r="A428" i="12" s="1"/>
  <c r="A429" i="12" s="1"/>
  <c r="A430" i="12" s="1"/>
  <c r="A431" i="12" s="1"/>
  <c r="A432" i="12" s="1"/>
  <c r="A433" i="12" s="1"/>
  <c r="A434" i="12" s="1"/>
  <c r="A435" i="12" s="1"/>
  <c r="A436" i="12" s="1"/>
  <c r="A437" i="12" s="1"/>
  <c r="A438" i="12" s="1"/>
  <c r="A439" i="12" s="1"/>
  <c r="A440" i="12" s="1"/>
  <c r="A441" i="12" s="1"/>
  <c r="A442" i="12" s="1"/>
  <c r="A443" i="12" s="1"/>
  <c r="A444" i="12" s="1"/>
  <c r="A445" i="12" s="1"/>
  <c r="A446" i="12" s="1"/>
  <c r="A447" i="12" s="1"/>
  <c r="A448" i="12" s="1"/>
  <c r="A449" i="12" s="1"/>
  <c r="A450" i="12" s="1"/>
  <c r="A451" i="12" s="1"/>
  <c r="A452" i="12" s="1"/>
  <c r="A453" i="12" s="1"/>
  <c r="A454" i="12" s="1"/>
  <c r="A455" i="12" s="1"/>
  <c r="A456" i="12" s="1"/>
  <c r="A457" i="12" s="1"/>
  <c r="A458" i="12" s="1"/>
  <c r="A459" i="12" s="1"/>
  <c r="A460" i="12" s="1"/>
  <c r="A461" i="12" s="1"/>
  <c r="A462" i="12" s="1"/>
  <c r="A463" i="12" s="1"/>
  <c r="A464" i="12" s="1"/>
  <c r="A465" i="12" s="1"/>
  <c r="A466" i="12" s="1"/>
  <c r="A467" i="12" s="1"/>
  <c r="A468" i="12" s="1"/>
  <c r="A469" i="12" s="1"/>
  <c r="A470" i="12" s="1"/>
  <c r="A471" i="12" s="1"/>
  <c r="A472" i="12" s="1"/>
  <c r="A473" i="12" s="1"/>
  <c r="A474" i="12" s="1"/>
  <c r="A475" i="12" s="1"/>
  <c r="A476" i="12" s="1"/>
  <c r="A477" i="12" s="1"/>
  <c r="A478" i="12" s="1"/>
  <c r="A479" i="12" s="1"/>
  <c r="A480" i="12" s="1"/>
  <c r="A481" i="12" s="1"/>
  <c r="A482" i="12" s="1"/>
  <c r="A483" i="12" s="1"/>
  <c r="A484" i="12" s="1"/>
  <c r="A485" i="12" s="1"/>
  <c r="A486" i="12" s="1"/>
  <c r="A487" i="12" s="1"/>
  <c r="A488" i="12" s="1"/>
  <c r="A489" i="12" s="1"/>
  <c r="A490" i="12" s="1"/>
  <c r="A491" i="12" s="1"/>
  <c r="A492" i="12" s="1"/>
  <c r="A493" i="12" s="1"/>
  <c r="A494" i="12" s="1"/>
  <c r="A495" i="12" s="1"/>
  <c r="A496" i="12" s="1"/>
  <c r="A497" i="12" s="1"/>
  <c r="A498" i="12" s="1"/>
  <c r="A499" i="12" s="1"/>
  <c r="A500" i="12" s="1"/>
  <c r="A501" i="12" s="1"/>
  <c r="A502" i="12" s="1"/>
  <c r="A503" i="12" s="1"/>
  <c r="A504" i="12" s="1"/>
  <c r="A505" i="12" s="1"/>
  <c r="A506" i="12" s="1"/>
  <c r="A507" i="12" s="1"/>
  <c r="A508" i="12" s="1"/>
  <c r="A509" i="12" s="1"/>
  <c r="A510" i="12" s="1"/>
  <c r="A511" i="12" s="1"/>
  <c r="A512" i="12" s="1"/>
  <c r="A513" i="12" s="1"/>
  <c r="A514" i="12" s="1"/>
  <c r="A515" i="12" s="1"/>
  <c r="A516" i="12" s="1"/>
  <c r="A517" i="12" s="1"/>
  <c r="A518" i="12" s="1"/>
  <c r="A519" i="12" s="1"/>
  <c r="A520" i="12" s="1"/>
  <c r="A521" i="12" s="1"/>
  <c r="A522" i="12" s="1"/>
  <c r="A523" i="12" s="1"/>
  <c r="A524" i="12" s="1"/>
  <c r="A525" i="12" s="1"/>
  <c r="A526" i="12" s="1"/>
  <c r="A527" i="12" s="1"/>
  <c r="A528" i="12" s="1"/>
  <c r="A529" i="12" s="1"/>
  <c r="A530" i="12" s="1"/>
  <c r="B19" i="12"/>
  <c r="B20" i="12" s="1"/>
  <c r="B21" i="12" s="1"/>
  <c r="B22" i="12" s="1"/>
  <c r="B23" i="12" s="1"/>
  <c r="B24" i="12" s="1"/>
  <c r="B25" i="12" s="1"/>
  <c r="B26" i="12" s="1"/>
  <c r="B27" i="12" s="1"/>
  <c r="B28" i="12" s="1"/>
  <c r="B29" i="12" s="1"/>
  <c r="A19" i="12"/>
  <c r="A20" i="12" s="1"/>
  <c r="B18" i="12"/>
  <c r="C14" i="12"/>
  <c r="C30" i="12" l="1"/>
  <c r="B30" i="12"/>
  <c r="B31" i="12" s="1"/>
  <c r="B32" i="12" s="1"/>
  <c r="B33" i="12" s="1"/>
  <c r="B34" i="12" s="1"/>
  <c r="B35" i="12" s="1"/>
  <c r="B36" i="12" s="1"/>
  <c r="B37" i="12" s="1"/>
  <c r="B38" i="12" s="1"/>
  <c r="B39" i="12" s="1"/>
  <c r="B40" i="12" s="1"/>
  <c r="B41" i="12" s="1"/>
  <c r="F139" i="6"/>
  <c r="F138" i="6"/>
  <c r="N65" i="6"/>
  <c r="N43" i="6"/>
  <c r="K47" i="6" s="1"/>
  <c r="N40" i="6"/>
  <c r="K46" i="6" s="1"/>
  <c r="C42" i="12" l="1"/>
  <c r="B42" i="12"/>
  <c r="B43" i="12" s="1"/>
  <c r="B44" i="12" s="1"/>
  <c r="B45" i="12" s="1"/>
  <c r="B46" i="12" s="1"/>
  <c r="B47" i="12" s="1"/>
  <c r="B48" i="12" s="1"/>
  <c r="B49" i="12" s="1"/>
  <c r="B50" i="12" s="1"/>
  <c r="B51" i="12" s="1"/>
  <c r="B52" i="12" s="1"/>
  <c r="B53" i="12" s="1"/>
  <c r="K15" i="1"/>
  <c r="J27" i="3"/>
  <c r="V59" i="7"/>
  <c r="V58" i="7"/>
  <c r="V60" i="7"/>
  <c r="V61" i="7"/>
  <c r="J40" i="7"/>
  <c r="J13" i="12"/>
  <c r="C60" i="6"/>
  <c r="K44" i="4"/>
  <c r="K47" i="4"/>
  <c r="K37" i="4"/>
  <c r="K39" i="4" s="1"/>
  <c r="K40" i="4"/>
  <c r="K15" i="4"/>
  <c r="K17" i="4" s="1"/>
  <c r="K19" i="4" s="1"/>
  <c r="K21" i="4" s="1"/>
  <c r="J179" i="7"/>
  <c r="J182" i="7"/>
  <c r="J184" i="7"/>
  <c r="J183" i="7"/>
  <c r="J180" i="7"/>
  <c r="J166" i="7"/>
  <c r="J151" i="7"/>
  <c r="J153" i="7"/>
  <c r="J134" i="7"/>
  <c r="J135" i="7"/>
  <c r="J137" i="7"/>
  <c r="J139" i="7"/>
  <c r="J145" i="7"/>
  <c r="J142" i="7"/>
  <c r="J143" i="7"/>
  <c r="J117" i="7"/>
  <c r="J118" i="7"/>
  <c r="E163" i="6"/>
  <c r="F164" i="6"/>
  <c r="F166" i="6"/>
  <c r="L24" i="1"/>
  <c r="K24" i="1"/>
  <c r="J89" i="7"/>
  <c r="J87" i="7"/>
  <c r="J83" i="7"/>
  <c r="J84" i="7"/>
  <c r="J81" i="7"/>
  <c r="S102" i="7"/>
  <c r="V99" i="7"/>
  <c r="V101" i="7"/>
  <c r="R85" i="7"/>
  <c r="R78" i="7"/>
  <c r="V75" i="7"/>
  <c r="V77" i="7"/>
  <c r="J65" i="7"/>
  <c r="J69" i="7"/>
  <c r="J67" i="7"/>
  <c r="V44" i="7"/>
  <c r="V46" i="7"/>
  <c r="V47" i="7"/>
  <c r="V55" i="7"/>
  <c r="V54" i="7"/>
  <c r="V35" i="7"/>
  <c r="V33" i="7"/>
  <c r="V25" i="7"/>
  <c r="V22" i="7"/>
  <c r="V23" i="7"/>
  <c r="V12" i="7"/>
  <c r="V16" i="7"/>
  <c r="G278" i="6"/>
  <c r="A278" i="6"/>
  <c r="B285" i="6"/>
  <c r="F278" i="6"/>
  <c r="E278" i="6"/>
  <c r="E282" i="6"/>
  <c r="D278" i="6"/>
  <c r="C278" i="6"/>
  <c r="C282" i="6"/>
  <c r="B278" i="6"/>
  <c r="B282" i="6"/>
  <c r="A282" i="6"/>
  <c r="D282" i="6"/>
  <c r="F282" i="6"/>
  <c r="V15" i="7"/>
  <c r="V56" i="7"/>
  <c r="V57" i="7"/>
  <c r="B289" i="6"/>
  <c r="E289" i="6"/>
  <c r="G289" i="6"/>
  <c r="J47" i="7"/>
  <c r="J44" i="7"/>
  <c r="J37" i="7"/>
  <c r="J39" i="7"/>
  <c r="J42" i="7"/>
  <c r="J52" i="7"/>
  <c r="J53" i="7"/>
  <c r="J54" i="7"/>
  <c r="J55" i="7"/>
  <c r="J17" i="7"/>
  <c r="J16" i="7"/>
  <c r="J18" i="7"/>
  <c r="J19" i="7"/>
  <c r="J20" i="7"/>
  <c r="J21" i="7"/>
  <c r="O22" i="6"/>
  <c r="O25" i="6"/>
  <c r="G245" i="6"/>
  <c r="F245" i="6"/>
  <c r="E245" i="6"/>
  <c r="D245" i="6"/>
  <c r="C245" i="6"/>
  <c r="C267" i="6"/>
  <c r="C268" i="6"/>
  <c r="C269" i="6"/>
  <c r="C270" i="6"/>
  <c r="C271" i="6"/>
  <c r="C272" i="6"/>
  <c r="H253" i="6"/>
  <c r="H254" i="6"/>
  <c r="G253" i="6"/>
  <c r="G252" i="6"/>
  <c r="F252" i="6"/>
  <c r="F253" i="6"/>
  <c r="F251" i="6"/>
  <c r="F254" i="6"/>
  <c r="E251" i="6"/>
  <c r="E252" i="6"/>
  <c r="E253" i="6"/>
  <c r="E250" i="6"/>
  <c r="D250" i="6"/>
  <c r="D251" i="6"/>
  <c r="D252" i="6"/>
  <c r="D253" i="6"/>
  <c r="D249" i="6"/>
  <c r="C236" i="6"/>
  <c r="C235" i="6"/>
  <c r="D213" i="6"/>
  <c r="D214" i="6"/>
  <c r="D215" i="6"/>
  <c r="D216" i="6"/>
  <c r="D217" i="6"/>
  <c r="D218" i="6"/>
  <c r="D219" i="6"/>
  <c r="D220" i="6"/>
  <c r="D221" i="6"/>
  <c r="F217" i="6"/>
  <c r="F216" i="6"/>
  <c r="F218" i="6"/>
  <c r="F219" i="6"/>
  <c r="F220" i="6"/>
  <c r="F221" i="6"/>
  <c r="F215" i="6"/>
  <c r="F214" i="6"/>
  <c r="F213" i="6"/>
  <c r="F212" i="6"/>
  <c r="D212" i="6"/>
  <c r="F196" i="6"/>
  <c r="F195" i="6"/>
  <c r="F194" i="6"/>
  <c r="F193" i="6"/>
  <c r="F192" i="6"/>
  <c r="H185" i="6"/>
  <c r="H179" i="6"/>
  <c r="H182" i="6"/>
  <c r="H181" i="6"/>
  <c r="H178" i="6"/>
  <c r="D254" i="6"/>
  <c r="E254" i="6"/>
  <c r="G254" i="6"/>
  <c r="C273" i="6"/>
  <c r="H183" i="6"/>
  <c r="F222" i="6"/>
  <c r="D222" i="6"/>
  <c r="H125" i="6"/>
  <c r="M13" i="6"/>
  <c r="G99" i="6"/>
  <c r="G97" i="6"/>
  <c r="G110" i="6"/>
  <c r="H255" i="6"/>
  <c r="G100" i="6"/>
  <c r="G103" i="6"/>
  <c r="G106" i="6"/>
  <c r="G101" i="6"/>
  <c r="G104" i="6"/>
  <c r="G107" i="6"/>
  <c r="H72" i="6"/>
  <c r="H74" i="6"/>
  <c r="H76" i="6"/>
  <c r="H78" i="6"/>
  <c r="B117" i="1"/>
  <c r="C59" i="6"/>
  <c r="C58" i="6"/>
  <c r="C57" i="6"/>
  <c r="C55" i="6"/>
  <c r="C54" i="6"/>
  <c r="D33" i="6"/>
  <c r="G33" i="6"/>
  <c r="F39" i="6"/>
  <c r="E41" i="6"/>
  <c r="D17" i="6"/>
  <c r="B9" i="6"/>
  <c r="G108" i="6"/>
  <c r="D20" i="6"/>
  <c r="D22" i="6"/>
  <c r="H163" i="1"/>
  <c r="H164" i="1"/>
  <c r="K178" i="1"/>
  <c r="B210" i="1"/>
  <c r="D210" i="1"/>
  <c r="F210" i="1"/>
  <c r="E234" i="1"/>
  <c r="E196" i="1"/>
  <c r="E194" i="1"/>
  <c r="E192" i="1"/>
  <c r="E190" i="1"/>
  <c r="E197" i="1"/>
  <c r="E193" i="1"/>
  <c r="E191" i="1"/>
  <c r="E189" i="1"/>
  <c r="C200" i="1"/>
  <c r="B200" i="1"/>
  <c r="D194" i="1"/>
  <c r="C199" i="1"/>
  <c r="E186" i="1"/>
  <c r="B199" i="1"/>
  <c r="D186" i="1"/>
  <c r="M173" i="1"/>
  <c r="D196" i="1"/>
  <c r="B202" i="1"/>
  <c r="D187" i="1"/>
  <c r="D191" i="1"/>
  <c r="D185" i="1"/>
  <c r="D197" i="1"/>
  <c r="C202" i="1"/>
  <c r="E199" i="1"/>
  <c r="D193" i="1"/>
  <c r="D190" i="1"/>
  <c r="E185" i="1"/>
  <c r="E200" i="1"/>
  <c r="D192" i="1"/>
  <c r="E187" i="1"/>
  <c r="D189" i="1"/>
  <c r="D195" i="1"/>
  <c r="B212" i="1"/>
  <c r="D212" i="1"/>
  <c r="K144" i="1"/>
  <c r="M139" i="1"/>
  <c r="B122" i="1"/>
  <c r="B121" i="1"/>
  <c r="B119" i="1"/>
  <c r="B115" i="1"/>
  <c r="B107" i="1"/>
  <c r="B105" i="1"/>
  <c r="B103" i="1"/>
  <c r="H87" i="1"/>
  <c r="D87" i="1"/>
  <c r="H76" i="1"/>
  <c r="D76" i="1"/>
  <c r="F64" i="1"/>
  <c r="E64" i="1"/>
  <c r="D65" i="1"/>
  <c r="D50" i="1"/>
  <c r="B50" i="1"/>
  <c r="F212" i="1"/>
  <c r="B214" i="1"/>
  <c r="F214" i="1"/>
  <c r="B216" i="1"/>
  <c r="D77" i="1"/>
  <c r="H77" i="1"/>
  <c r="B124" i="1"/>
  <c r="D88" i="1"/>
  <c r="H88" i="1"/>
  <c r="B51" i="1"/>
  <c r="C21" i="1"/>
  <c r="B21" i="1"/>
  <c r="D214" i="1"/>
  <c r="D216" i="1"/>
  <c r="F216" i="1"/>
  <c r="B218" i="1"/>
  <c r="D22" i="1"/>
  <c r="F218" i="1"/>
  <c r="B220" i="1"/>
  <c r="D218" i="1"/>
  <c r="C13" i="1"/>
  <c r="B13" i="1"/>
  <c r="F220" i="1"/>
  <c r="B222" i="1"/>
  <c r="D220" i="1"/>
  <c r="D14" i="1"/>
  <c r="D222" i="1"/>
  <c r="F222" i="1"/>
  <c r="B224" i="1"/>
  <c r="F224" i="1"/>
  <c r="B226" i="1"/>
  <c r="D224" i="1"/>
  <c r="F226" i="1"/>
  <c r="B228" i="1"/>
  <c r="D226" i="1"/>
  <c r="D228" i="1"/>
  <c r="F228" i="1"/>
  <c r="B230" i="1"/>
  <c r="F230" i="1"/>
  <c r="B232" i="1"/>
  <c r="D230" i="1"/>
  <c r="D232" i="1"/>
  <c r="F232" i="1"/>
  <c r="F234" i="1"/>
  <c r="B234" i="1"/>
  <c r="D246" i="6"/>
  <c r="E246" i="6"/>
  <c r="F246" i="6"/>
  <c r="H245" i="6"/>
  <c r="G246" i="6"/>
  <c r="K52" i="4" l="1"/>
  <c r="K53" i="4" s="1"/>
  <c r="K54" i="4" s="1"/>
  <c r="K55" i="4" s="1"/>
  <c r="K42" i="4"/>
  <c r="C54" i="12"/>
  <c r="B54" i="12"/>
  <c r="B55" i="12" s="1"/>
  <c r="B56" i="12" s="1"/>
  <c r="B57" i="12" s="1"/>
  <c r="B58" i="12" s="1"/>
  <c r="B59" i="12" s="1"/>
  <c r="B60" i="12" s="1"/>
  <c r="B61" i="12" s="1"/>
  <c r="B62" i="12" s="1"/>
  <c r="B63" i="12" s="1"/>
  <c r="B64" i="12" s="1"/>
  <c r="B65" i="12" s="1"/>
  <c r="B66" i="12" l="1"/>
  <c r="C66" i="12"/>
  <c r="B67" i="12" l="1"/>
  <c r="B68" i="12" s="1"/>
  <c r="B69" i="12" s="1"/>
  <c r="B70" i="12" s="1"/>
  <c r="B71" i="12" s="1"/>
  <c r="B72" i="12" s="1"/>
  <c r="B73" i="12" s="1"/>
  <c r="B74" i="12" s="1"/>
  <c r="B75" i="12" s="1"/>
  <c r="B76" i="12" s="1"/>
  <c r="B77" i="12" s="1"/>
  <c r="C78" i="12" l="1"/>
  <c r="B78" i="12"/>
  <c r="B79" i="12" s="1"/>
  <c r="B80" i="12" s="1"/>
  <c r="B81" i="12" s="1"/>
  <c r="B82" i="12" s="1"/>
  <c r="B83" i="12" s="1"/>
  <c r="B84" i="12" s="1"/>
  <c r="B85" i="12" s="1"/>
  <c r="B86" i="12" s="1"/>
  <c r="B87" i="12" s="1"/>
  <c r="B88" i="12" s="1"/>
  <c r="B89" i="12" s="1"/>
  <c r="B90" i="12" l="1"/>
  <c r="C90" i="12"/>
  <c r="B91" i="12" l="1"/>
  <c r="B92" i="12" s="1"/>
  <c r="B93" i="12" s="1"/>
  <c r="B94" i="12" s="1"/>
  <c r="B95" i="12" s="1"/>
  <c r="B96" i="12" s="1"/>
  <c r="B97" i="12" s="1"/>
  <c r="B98" i="12" s="1"/>
  <c r="B99" i="12" s="1"/>
  <c r="B100" i="12" s="1"/>
  <c r="B101" i="12" s="1"/>
  <c r="C102" i="12" l="1"/>
  <c r="B102" i="12"/>
  <c r="B103" i="12" s="1"/>
  <c r="B104" i="12" s="1"/>
  <c r="B105" i="12" s="1"/>
  <c r="B106" i="12" s="1"/>
  <c r="B107" i="12" s="1"/>
  <c r="B108" i="12" s="1"/>
  <c r="B109" i="12" s="1"/>
  <c r="B110" i="12" s="1"/>
  <c r="B111" i="12" s="1"/>
  <c r="B112" i="12" s="1"/>
  <c r="B113" i="12" s="1"/>
  <c r="B114" i="12" l="1"/>
  <c r="C114" i="12"/>
  <c r="B115" i="12" l="1"/>
  <c r="B116" i="12" s="1"/>
  <c r="B117" i="12" s="1"/>
  <c r="B118" i="12" s="1"/>
  <c r="B119" i="12" s="1"/>
  <c r="B120" i="12" s="1"/>
  <c r="B121" i="12" s="1"/>
  <c r="B122" i="12" s="1"/>
  <c r="B123" i="12" s="1"/>
  <c r="B124" i="12" s="1"/>
  <c r="B125" i="12" s="1"/>
  <c r="C126" i="12" l="1"/>
  <c r="B126" i="12"/>
  <c r="B127" i="12" s="1"/>
  <c r="B128" i="12" s="1"/>
  <c r="B129" i="12" s="1"/>
  <c r="B130" i="12" s="1"/>
  <c r="B131" i="12" s="1"/>
  <c r="B132" i="12" s="1"/>
  <c r="B133" i="12" s="1"/>
  <c r="B134" i="12" s="1"/>
  <c r="B135" i="12" s="1"/>
  <c r="B136" i="12" s="1"/>
  <c r="B137" i="12" s="1"/>
  <c r="B138" i="12" l="1"/>
  <c r="C138" i="12"/>
  <c r="B139" i="12" l="1"/>
  <c r="B140" i="12" s="1"/>
  <c r="B141" i="12" s="1"/>
  <c r="B142" i="12" s="1"/>
  <c r="B143" i="12" s="1"/>
  <c r="B144" i="12" s="1"/>
  <c r="B145" i="12" s="1"/>
  <c r="B146" i="12" s="1"/>
  <c r="B147" i="12" s="1"/>
  <c r="B148" i="12" s="1"/>
  <c r="B149" i="12" s="1"/>
  <c r="B150" i="12" l="1"/>
  <c r="C150" i="12"/>
  <c r="B151" i="12" l="1"/>
  <c r="B152" i="12" s="1"/>
  <c r="B153" i="12" s="1"/>
  <c r="B154" i="12" s="1"/>
  <c r="B155" i="12" s="1"/>
  <c r="B156" i="12" s="1"/>
  <c r="B157" i="12" s="1"/>
  <c r="B158" i="12" s="1"/>
  <c r="B159" i="12" s="1"/>
  <c r="B160" i="12" s="1"/>
  <c r="B161" i="12" s="1"/>
  <c r="B162" i="12" l="1"/>
  <c r="C162" i="12"/>
  <c r="B163" i="12" l="1"/>
  <c r="B164" i="12" s="1"/>
  <c r="B165" i="12" s="1"/>
  <c r="B166" i="12" s="1"/>
  <c r="B167" i="12" s="1"/>
  <c r="B168" i="12" s="1"/>
  <c r="B169" i="12" s="1"/>
  <c r="B170" i="12" s="1"/>
  <c r="B171" i="12" s="1"/>
  <c r="B172" i="12" s="1"/>
  <c r="B173" i="12" s="1"/>
  <c r="C174" i="12" l="1"/>
  <c r="B174" i="12"/>
  <c r="B175" i="12" l="1"/>
  <c r="B176" i="12" s="1"/>
  <c r="B177" i="12" s="1"/>
  <c r="B178" i="12" s="1"/>
  <c r="B179" i="12" s="1"/>
  <c r="B180" i="12" s="1"/>
  <c r="B181" i="12" s="1"/>
  <c r="B182" i="12" s="1"/>
  <c r="B183" i="12" s="1"/>
  <c r="B184" i="12" s="1"/>
  <c r="B185" i="12" s="1"/>
  <c r="B186" i="12" l="1"/>
  <c r="C186" i="12"/>
  <c r="B187" i="12" l="1"/>
  <c r="B188" i="12" s="1"/>
  <c r="B189" i="12" s="1"/>
  <c r="B190" i="12" s="1"/>
  <c r="B191" i="12" s="1"/>
  <c r="B192" i="12" s="1"/>
  <c r="B193" i="12" s="1"/>
  <c r="B194" i="12" s="1"/>
  <c r="B195" i="12" s="1"/>
  <c r="B196" i="12" s="1"/>
  <c r="B197" i="12" s="1"/>
  <c r="B198" i="12" l="1"/>
  <c r="C198" i="12"/>
  <c r="B199" i="12" l="1"/>
  <c r="B200" i="12" s="1"/>
  <c r="B201" i="12" s="1"/>
  <c r="B202" i="12" s="1"/>
  <c r="B203" i="12" s="1"/>
  <c r="B204" i="12" s="1"/>
  <c r="B205" i="12" s="1"/>
  <c r="B206" i="12" s="1"/>
  <c r="B207" i="12" s="1"/>
  <c r="B208" i="12" s="1"/>
  <c r="B209" i="12" s="1"/>
  <c r="B210" i="12" l="1"/>
  <c r="C210" i="12"/>
  <c r="B211" i="12" l="1"/>
  <c r="B212" i="12" s="1"/>
  <c r="B213" i="12" s="1"/>
  <c r="B214" i="12" s="1"/>
  <c r="B215" i="12" s="1"/>
  <c r="B216" i="12" s="1"/>
  <c r="B217" i="12" s="1"/>
  <c r="B218" i="12" s="1"/>
  <c r="B219" i="12" s="1"/>
  <c r="B220" i="12" s="1"/>
  <c r="B221" i="12" s="1"/>
  <c r="C222" i="12" l="1"/>
  <c r="B222" i="12"/>
  <c r="B223" i="12" s="1"/>
  <c r="B224" i="12" s="1"/>
  <c r="B225" i="12" s="1"/>
  <c r="B226" i="12" s="1"/>
  <c r="B227" i="12" s="1"/>
  <c r="B228" i="12" s="1"/>
  <c r="B229" i="12" s="1"/>
  <c r="B230" i="12" s="1"/>
  <c r="B231" i="12" s="1"/>
  <c r="B232" i="12" s="1"/>
  <c r="B233" i="12" s="1"/>
  <c r="B234" i="12" l="1"/>
  <c r="C234" i="12"/>
  <c r="B235" i="12" l="1"/>
  <c r="B236" i="12" s="1"/>
  <c r="B237" i="12" s="1"/>
  <c r="B238" i="12" s="1"/>
  <c r="B239" i="12" s="1"/>
  <c r="B240" i="12" s="1"/>
  <c r="B241" i="12" s="1"/>
  <c r="B242" i="12" s="1"/>
  <c r="B243" i="12" s="1"/>
  <c r="B244" i="12" s="1"/>
  <c r="B245" i="12" s="1"/>
  <c r="C246" i="12" l="1"/>
  <c r="B246" i="12"/>
  <c r="B247" i="12" s="1"/>
  <c r="B248" i="12" s="1"/>
  <c r="B249" i="12" s="1"/>
  <c r="B250" i="12" s="1"/>
  <c r="B251" i="12" s="1"/>
  <c r="B252" i="12" s="1"/>
  <c r="B253" i="12" s="1"/>
  <c r="B254" i="12" s="1"/>
  <c r="B255" i="12" s="1"/>
  <c r="B256" i="12" s="1"/>
  <c r="B257" i="12" s="1"/>
  <c r="B258" i="12" l="1"/>
  <c r="C258" i="12"/>
  <c r="B259" i="12" l="1"/>
  <c r="B260" i="12" s="1"/>
  <c r="B261" i="12" s="1"/>
  <c r="B262" i="12" s="1"/>
  <c r="B263" i="12" s="1"/>
  <c r="B264" i="12" s="1"/>
  <c r="B265" i="12" s="1"/>
  <c r="B266" i="12" s="1"/>
  <c r="B267" i="12" s="1"/>
  <c r="B268" i="12" s="1"/>
  <c r="B269" i="12" s="1"/>
  <c r="C270" i="12" l="1"/>
  <c r="B270" i="12"/>
  <c r="B271" i="12" s="1"/>
  <c r="B272" i="12" s="1"/>
  <c r="B273" i="12" s="1"/>
  <c r="B274" i="12" s="1"/>
  <c r="B275" i="12" s="1"/>
  <c r="B276" i="12" s="1"/>
  <c r="B277" i="12" s="1"/>
  <c r="B278" i="12" s="1"/>
  <c r="B279" i="12" s="1"/>
  <c r="B280" i="12" s="1"/>
  <c r="B281" i="12" s="1"/>
  <c r="B282" i="12" l="1"/>
  <c r="C282" i="12"/>
  <c r="B283" i="12" l="1"/>
  <c r="B284" i="12" s="1"/>
  <c r="B285" i="12" s="1"/>
  <c r="B286" i="12" s="1"/>
  <c r="B287" i="12" s="1"/>
  <c r="B288" i="12" s="1"/>
  <c r="B289" i="12" s="1"/>
  <c r="B290" i="12" s="1"/>
  <c r="B291" i="12" s="1"/>
  <c r="B292" i="12" s="1"/>
  <c r="B293" i="12" s="1"/>
  <c r="B294" i="12" l="1"/>
  <c r="C294" i="12"/>
  <c r="B295" i="12" l="1"/>
  <c r="B296" i="12" s="1"/>
  <c r="B297" i="12" s="1"/>
  <c r="B298" i="12" s="1"/>
  <c r="B299" i="12" s="1"/>
  <c r="B300" i="12" s="1"/>
  <c r="B301" i="12" s="1"/>
  <c r="B302" i="12" s="1"/>
  <c r="B303" i="12" s="1"/>
  <c r="B304" i="12" s="1"/>
  <c r="B305" i="12" s="1"/>
  <c r="C306" i="12" l="1"/>
  <c r="B306" i="12"/>
  <c r="B307" i="12" s="1"/>
  <c r="B308" i="12" s="1"/>
  <c r="B309" i="12" s="1"/>
  <c r="B310" i="12" s="1"/>
  <c r="B311" i="12" s="1"/>
  <c r="B312" i="12" s="1"/>
  <c r="B313" i="12" s="1"/>
  <c r="B314" i="12" s="1"/>
  <c r="B315" i="12" s="1"/>
  <c r="B316" i="12" s="1"/>
  <c r="B317" i="12" s="1"/>
  <c r="C318" i="12" l="1"/>
  <c r="B318" i="12"/>
  <c r="B319" i="12" s="1"/>
  <c r="B320" i="12" s="1"/>
  <c r="B321" i="12" s="1"/>
  <c r="B322" i="12" s="1"/>
  <c r="B323" i="12" s="1"/>
  <c r="B324" i="12" s="1"/>
  <c r="B325" i="12" s="1"/>
  <c r="B326" i="12" s="1"/>
  <c r="B327" i="12" s="1"/>
  <c r="B328" i="12" s="1"/>
  <c r="B329" i="12" s="1"/>
  <c r="B330" i="12" l="1"/>
  <c r="B331" i="12" s="1"/>
  <c r="B332" i="12" s="1"/>
  <c r="B333" i="12" s="1"/>
  <c r="B334" i="12" s="1"/>
  <c r="B335" i="12" s="1"/>
  <c r="B336" i="12" s="1"/>
  <c r="B337" i="12" s="1"/>
  <c r="B338" i="12" s="1"/>
  <c r="B339" i="12" s="1"/>
  <c r="B340" i="12" s="1"/>
  <c r="B341" i="12" s="1"/>
  <c r="C330" i="12"/>
  <c r="C342" i="12" l="1"/>
  <c r="B342" i="12"/>
  <c r="B343" i="12" l="1"/>
  <c r="B344" i="12" s="1"/>
  <c r="B345" i="12" s="1"/>
  <c r="B346" i="12" s="1"/>
  <c r="B347" i="12" s="1"/>
  <c r="B348" i="12" s="1"/>
  <c r="B349" i="12" s="1"/>
  <c r="B350" i="12" s="1"/>
  <c r="B351" i="12" s="1"/>
  <c r="B352" i="12" s="1"/>
  <c r="B353" i="12" s="1"/>
  <c r="C354" i="12" l="1"/>
  <c r="B354" i="12"/>
  <c r="B355" i="12" s="1"/>
  <c r="B356" i="12" s="1"/>
  <c r="B357" i="12" s="1"/>
  <c r="B358" i="12" s="1"/>
  <c r="B359" i="12" s="1"/>
  <c r="B360" i="12" s="1"/>
  <c r="B361" i="12" s="1"/>
  <c r="B362" i="12" s="1"/>
  <c r="B363" i="12" s="1"/>
  <c r="B364" i="12" s="1"/>
  <c r="B365" i="12" s="1"/>
  <c r="C366" i="12" l="1"/>
  <c r="B366" i="12"/>
  <c r="B367" i="12" s="1"/>
  <c r="B368" i="12" s="1"/>
  <c r="B369" i="12" s="1"/>
  <c r="B370" i="12" s="1"/>
  <c r="B371" i="12" s="1"/>
  <c r="B372" i="12" s="1"/>
  <c r="B373" i="12" s="1"/>
  <c r="B374" i="12" s="1"/>
  <c r="B375" i="12" s="1"/>
  <c r="B376" i="12" s="1"/>
  <c r="B377" i="12" s="1"/>
  <c r="C378" i="12" l="1"/>
  <c r="B378" i="12"/>
  <c r="B379" i="12" s="1"/>
  <c r="B380" i="12" s="1"/>
  <c r="B381" i="12" s="1"/>
  <c r="B382" i="12" s="1"/>
  <c r="B383" i="12" s="1"/>
  <c r="B384" i="12" s="1"/>
  <c r="B385" i="12" s="1"/>
  <c r="B386" i="12" s="1"/>
  <c r="B387" i="12" s="1"/>
  <c r="B388" i="12" s="1"/>
  <c r="B389" i="12" s="1"/>
  <c r="C390" i="12" l="1"/>
  <c r="B390" i="12"/>
  <c r="B391" i="12" s="1"/>
  <c r="B392" i="12" s="1"/>
  <c r="B393" i="12" s="1"/>
  <c r="B394" i="12" s="1"/>
  <c r="B395" i="12" s="1"/>
  <c r="B396" i="12" s="1"/>
  <c r="B397" i="12" s="1"/>
  <c r="B398" i="12" s="1"/>
  <c r="B399" i="12" s="1"/>
  <c r="B400" i="12" s="1"/>
  <c r="B401" i="12" s="1"/>
  <c r="B402" i="12" l="1"/>
  <c r="C402" i="12"/>
  <c r="B403" i="12" l="1"/>
  <c r="B404" i="12" s="1"/>
  <c r="B405" i="12" s="1"/>
  <c r="B406" i="12" s="1"/>
  <c r="B407" i="12" s="1"/>
  <c r="B408" i="12" s="1"/>
  <c r="B409" i="12" s="1"/>
  <c r="B410" i="12" s="1"/>
  <c r="B411" i="12" s="1"/>
  <c r="B412" i="12" s="1"/>
  <c r="B413" i="12" s="1"/>
  <c r="C414" i="12" l="1"/>
  <c r="B414" i="12"/>
  <c r="B415" i="12" s="1"/>
  <c r="B416" i="12" s="1"/>
  <c r="B417" i="12" s="1"/>
  <c r="B418" i="12" s="1"/>
  <c r="B419" i="12" s="1"/>
  <c r="B420" i="12" s="1"/>
  <c r="B421" i="12" s="1"/>
  <c r="B422" i="12" s="1"/>
  <c r="B423" i="12" s="1"/>
  <c r="B424" i="12" s="1"/>
  <c r="B425" i="12" s="1"/>
  <c r="C426" i="12" l="1"/>
  <c r="B426" i="12"/>
  <c r="B427" i="12" s="1"/>
  <c r="B428" i="12" s="1"/>
  <c r="B429" i="12" s="1"/>
  <c r="B430" i="12" s="1"/>
  <c r="B431" i="12" s="1"/>
  <c r="B432" i="12" s="1"/>
  <c r="B433" i="12" s="1"/>
  <c r="B434" i="12" s="1"/>
  <c r="B435" i="12" s="1"/>
  <c r="B436" i="12" s="1"/>
  <c r="B437" i="12" s="1"/>
  <c r="C438" i="12" l="1"/>
  <c r="B438" i="12"/>
  <c r="B439" i="12" s="1"/>
  <c r="B440" i="12" s="1"/>
  <c r="B441" i="12" s="1"/>
  <c r="B442" i="12" s="1"/>
  <c r="B443" i="12" s="1"/>
  <c r="B444" i="12" s="1"/>
  <c r="B445" i="12" s="1"/>
  <c r="B446" i="12" s="1"/>
  <c r="B447" i="12" s="1"/>
  <c r="B448" i="12" s="1"/>
  <c r="B449" i="12" s="1"/>
  <c r="B450" i="12" l="1"/>
  <c r="C450" i="12"/>
  <c r="B451" i="12" l="1"/>
  <c r="B452" i="12" s="1"/>
  <c r="B453" i="12" s="1"/>
  <c r="B454" i="12" s="1"/>
  <c r="B455" i="12" s="1"/>
  <c r="B456" i="12" s="1"/>
  <c r="B457" i="12" s="1"/>
  <c r="B458" i="12" s="1"/>
  <c r="B459" i="12" s="1"/>
  <c r="B460" i="12" s="1"/>
  <c r="B461" i="12" s="1"/>
  <c r="B462" i="12" l="1"/>
  <c r="C462" i="12"/>
  <c r="B463" i="12" l="1"/>
  <c r="B464" i="12" s="1"/>
  <c r="B465" i="12" s="1"/>
  <c r="B466" i="12" s="1"/>
  <c r="B467" i="12" s="1"/>
  <c r="B468" i="12" s="1"/>
  <c r="B469" i="12" s="1"/>
  <c r="B470" i="12" s="1"/>
  <c r="B471" i="12" s="1"/>
  <c r="B472" i="12" s="1"/>
  <c r="B473" i="12" s="1"/>
  <c r="C474" i="12" l="1"/>
  <c r="B474" i="12"/>
  <c r="B475" i="12" s="1"/>
  <c r="B476" i="12" s="1"/>
  <c r="B477" i="12" s="1"/>
  <c r="B478" i="12" s="1"/>
  <c r="B479" i="12" s="1"/>
  <c r="B480" i="12" s="1"/>
  <c r="B481" i="12" s="1"/>
  <c r="B482" i="12" s="1"/>
  <c r="B483" i="12" s="1"/>
  <c r="B484" i="12" s="1"/>
  <c r="B485" i="12" s="1"/>
  <c r="C486" i="12" l="1"/>
  <c r="B486" i="12"/>
  <c r="B487" i="12" s="1"/>
  <c r="B488" i="12" s="1"/>
  <c r="B489" i="12" s="1"/>
  <c r="B490" i="12" s="1"/>
  <c r="B491" i="12" s="1"/>
  <c r="B492" i="12" s="1"/>
  <c r="B493" i="12" s="1"/>
  <c r="B494" i="12" s="1"/>
  <c r="B495" i="12" s="1"/>
  <c r="B496" i="12" s="1"/>
  <c r="B497" i="12" s="1"/>
  <c r="B498" i="12" l="1"/>
  <c r="B499" i="12" s="1"/>
  <c r="B500" i="12" s="1"/>
  <c r="B501" i="12" s="1"/>
  <c r="B502" i="12" s="1"/>
  <c r="B503" i="12" s="1"/>
  <c r="B504" i="12" s="1"/>
  <c r="B505" i="12" s="1"/>
  <c r="B506" i="12" s="1"/>
  <c r="B507" i="12" s="1"/>
  <c r="B508" i="12" s="1"/>
  <c r="B509" i="12" s="1"/>
  <c r="C498" i="12"/>
  <c r="C510" i="12" l="1"/>
  <c r="B510" i="12"/>
  <c r="B511" i="12" s="1"/>
  <c r="B512" i="12" s="1"/>
  <c r="B513" i="12" s="1"/>
  <c r="B514" i="12" s="1"/>
  <c r="B515" i="12" s="1"/>
  <c r="B516" i="12" s="1"/>
  <c r="B517" i="12" s="1"/>
  <c r="B518" i="12" s="1"/>
  <c r="B519" i="12" s="1"/>
  <c r="B520" i="12" s="1"/>
  <c r="B521" i="12" s="1"/>
  <c r="C522" i="12" l="1"/>
  <c r="B522" i="12"/>
  <c r="B523" i="12" s="1"/>
  <c r="B524" i="12" s="1"/>
  <c r="B525" i="12" s="1"/>
  <c r="B526" i="12" s="1"/>
  <c r="B527" i="12" s="1"/>
  <c r="B528" i="12" s="1"/>
  <c r="B529" i="12" s="1"/>
  <c r="C530" i="12" l="1"/>
  <c r="C17" i="12" s="1"/>
  <c r="B530" i="12"/>
  <c r="B17" i="12" s="1"/>
  <c r="J14" i="12" l="1"/>
</calcChain>
</file>

<file path=xl/comments1.xml><?xml version="1.0" encoding="utf-8"?>
<comments xmlns="http://schemas.openxmlformats.org/spreadsheetml/2006/main">
  <authors>
    <author>ЕГ</author>
  </authors>
  <commentList>
    <comment ref="E22" authorId="0" shapeId="0">
      <text>
        <r>
          <rPr>
            <sz val="9"/>
            <color indexed="81"/>
            <rFont val="Tahoma"/>
            <family val="2"/>
            <charset val="204"/>
          </rPr>
          <t>Е. Григорьев (АНО "ИДПО МФЦ"):
Номинальный поток платежей в будущем</t>
        </r>
      </text>
    </comment>
    <comment ref="F22" authorId="0" shapeId="0">
      <text>
        <r>
          <rPr>
            <sz val="9"/>
            <color indexed="81"/>
            <rFont val="Tahoma"/>
            <family val="2"/>
            <charset val="204"/>
          </rPr>
          <t>Е. Григорьев (АНО "ИДПО МФЦ"):
Приведенный к сегодня поток. Дисконтирование на ставку (Ячейка M31), которая найдена методом подбора.</t>
        </r>
        <r>
          <rPr>
            <b/>
            <sz val="9"/>
            <color indexed="81"/>
            <rFont val="Tahoma"/>
            <family val="2"/>
            <charset val="204"/>
          </rPr>
          <t xml:space="preserve"> </t>
        </r>
        <r>
          <rPr>
            <sz val="9"/>
            <color indexed="81"/>
            <rFont val="Tahoma"/>
            <family val="2"/>
            <charset val="204"/>
          </rPr>
          <t>Это ставка и есть</t>
        </r>
        <r>
          <rPr>
            <b/>
            <sz val="9"/>
            <color indexed="81"/>
            <rFont val="Tahoma"/>
            <family val="2"/>
            <charset val="204"/>
          </rPr>
          <t xml:space="preserve"> внутренняя норма доходности (ВНД)</t>
        </r>
        <r>
          <rPr>
            <sz val="9"/>
            <color indexed="81"/>
            <rFont val="Tahoma"/>
            <family val="2"/>
            <charset val="204"/>
          </rPr>
          <t>, то есть вкладывая три раза по 400 тыс. руб. и получая  в будущем  обратно инвестиционные вычеты, купоны и номинал ОФЗ, проценты по депозитам - все это равносильно обычному депозиту с такой ставкой в этом периоде времени с такими датами внесения/получения денежных средств.</t>
        </r>
      </text>
    </comment>
    <comment ref="L24" authorId="0" shapeId="0">
      <text>
        <r>
          <rPr>
            <sz val="9"/>
            <color indexed="81"/>
            <rFont val="Tahoma"/>
            <family val="2"/>
            <charset val="204"/>
          </rPr>
          <t>Е.Григорьев (АНО "ИДПО МФЦ"):
Комиссия депозитария возникает в тот месяц, когда проходит сделка и равна 150 руб. Далее в этом месяце можно совершать неограниченное число сделок. Когда сделок нет комиссия депозитария за ведение счета депо не взымается.</t>
        </r>
      </text>
    </comment>
  </commentList>
</comments>
</file>

<file path=xl/sharedStrings.xml><?xml version="1.0" encoding="utf-8"?>
<sst xmlns="http://schemas.openxmlformats.org/spreadsheetml/2006/main" count="1072" uniqueCount="799">
  <si>
    <t>Товар 2</t>
  </si>
  <si>
    <t>…</t>
  </si>
  <si>
    <t>Товар 50</t>
  </si>
  <si>
    <t>Начало года</t>
  </si>
  <si>
    <t>Дано</t>
  </si>
  <si>
    <t>Решение</t>
  </si>
  <si>
    <t>∂</t>
  </si>
  <si>
    <t>2.</t>
  </si>
  <si>
    <t>3.</t>
  </si>
  <si>
    <t>Кн=</t>
  </si>
  <si>
    <t>EUR</t>
  </si>
  <si>
    <t>USD</t>
  </si>
  <si>
    <t>Банк 2</t>
  </si>
  <si>
    <t>Конец года</t>
  </si>
  <si>
    <t>(6,1-5)/5*100</t>
  </si>
  <si>
    <t>(4,9-5)/5*100</t>
  </si>
  <si>
    <t>Изменение стоимости  
потребительской корзины, %</t>
  </si>
  <si>
    <t>r(r) = 800%-400%=400%</t>
  </si>
  <si>
    <t>i - инфляция</t>
  </si>
  <si>
    <t>?</t>
  </si>
  <si>
    <t>Товар 1, руб.</t>
  </si>
  <si>
    <t>Сумма, руб.</t>
  </si>
  <si>
    <t>Потреб. корзина</t>
  </si>
  <si>
    <t>Пусть S - это доход, 
а p - это начальная цена акции</t>
  </si>
  <si>
    <t>Доходность r = (S-p)/p</t>
  </si>
  <si>
    <t>Доходы</t>
  </si>
  <si>
    <t>Расходы</t>
  </si>
  <si>
    <t>Зарплата мужа</t>
  </si>
  <si>
    <t>Питание</t>
  </si>
  <si>
    <t>Зарплата жены</t>
  </si>
  <si>
    <t>Арендная плата за квартиру</t>
  </si>
  <si>
    <t>Мобильная связь</t>
  </si>
  <si>
    <t>Покупка одежды</t>
  </si>
  <si>
    <t>Спорт</t>
  </si>
  <si>
    <t>Карманные расходы</t>
  </si>
  <si>
    <t>Транспортные расходы</t>
  </si>
  <si>
    <t>Отдых, досуг</t>
  </si>
  <si>
    <t>Прочее</t>
  </si>
  <si>
    <t>Итог:</t>
  </si>
  <si>
    <t xml:space="preserve">Сбережения </t>
  </si>
  <si>
    <t>текущие</t>
  </si>
  <si>
    <t>план</t>
  </si>
  <si>
    <t>Заработная плата</t>
  </si>
  <si>
    <t>Коммунальные услуги</t>
  </si>
  <si>
    <t>Лекарства</t>
  </si>
  <si>
    <t>Покупка одежды/ обуви</t>
  </si>
  <si>
    <t>Спорт/ отдых</t>
  </si>
  <si>
    <t xml:space="preserve">В магазине «Рядом с домом» </t>
  </si>
  <si>
    <t>В мелкооптовом магазине</t>
  </si>
  <si>
    <t>Количество</t>
  </si>
  <si>
    <t>Молоко, пакеты</t>
  </si>
  <si>
    <t xml:space="preserve">Макароны 6 пачек </t>
  </si>
  <si>
    <t>Потребительская корзина за месяц</t>
  </si>
  <si>
    <t xml:space="preserve">Гречка 4 пачки </t>
  </si>
  <si>
    <t>Кур-ные грудки, кг</t>
  </si>
  <si>
    <t xml:space="preserve">Сахар, кг </t>
  </si>
  <si>
    <t>Яйцо, шт</t>
  </si>
  <si>
    <t>Итого</t>
  </si>
  <si>
    <t>Экономия в месяц</t>
  </si>
  <si>
    <t>Экономия в год</t>
  </si>
  <si>
    <t>Выберите магазин</t>
  </si>
  <si>
    <t>Магазин, где вы сейчас покупаете продукты</t>
  </si>
  <si>
    <t>Для своего расчета</t>
  </si>
  <si>
    <t>Баланс бюджета</t>
  </si>
  <si>
    <t>НЕТ</t>
  </si>
  <si>
    <t xml:space="preserve">1. </t>
  </si>
  <si>
    <t>(65-18)*15000*12</t>
  </si>
  <si>
    <t>(65-18-3)*20000*12</t>
  </si>
  <si>
    <t>(65-18-5)*20000*12</t>
  </si>
  <si>
    <t>РЕШЕНИЕ</t>
  </si>
  <si>
    <t>Доход 3</t>
  </si>
  <si>
    <t>Доход 2</t>
  </si>
  <si>
    <t>Доход 1</t>
  </si>
  <si>
    <t xml:space="preserve"> столько заработает за трудовую жизнь Иван, если решит получит высшее образование</t>
  </si>
  <si>
    <t>в %%</t>
  </si>
  <si>
    <t>Формула реального дохода РЗП=НЗП/(1+ Темп инфляции)</t>
  </si>
  <si>
    <t>4.</t>
  </si>
  <si>
    <t>Располагаемый реальный доход в 2011 - 120 тыс. руб. Налог НДФЛ 13%</t>
  </si>
  <si>
    <t>Прирост номинального дохода с 2010 по 2011 гг.</t>
  </si>
  <si>
    <t>Прирост реального дохода с 2010 по 2011 гг.</t>
  </si>
  <si>
    <t>5.</t>
  </si>
  <si>
    <t>Номинальный доход в 2011 - 120 тыс. руб. Реальный доход в 2011 г. с учетом инфляции в 7%</t>
  </si>
  <si>
    <t>Необходимая сумма</t>
  </si>
  <si>
    <t>Первый платеж сегодня 
или в конце периода?</t>
  </si>
  <si>
    <t>Количество периодов в г.</t>
  </si>
  <si>
    <t xml:space="preserve">Ставка, в год. </t>
  </si>
  <si>
    <t>Кол-во периодов всего</t>
  </si>
  <si>
    <t>Сумма взноса на депозит</t>
  </si>
  <si>
    <t>(вставьте 1 -если сег., 0-если в конце)</t>
  </si>
  <si>
    <t xml:space="preserve">Ставка за период, % </t>
  </si>
  <si>
    <r>
      <t xml:space="preserve">1. Нужна сумма для создания РК = 210 - 50 = 160 тыс. руб. </t>
    </r>
    <r>
      <rPr>
        <b/>
        <sz val="12"/>
        <color theme="1"/>
        <rFont val="Times New Roman"/>
        <family val="1"/>
        <charset val="204"/>
      </rPr>
      <t>Начинаем сберегать ( не инвестировать!)</t>
    </r>
  </si>
  <si>
    <t>КАТЕГОРИЯ</t>
  </si>
  <si>
    <t>ПЛАН</t>
  </si>
  <si>
    <t>ФАКТ</t>
  </si>
  <si>
    <t>ПРОЦЕНТ</t>
  </si>
  <si>
    <t>выполнение</t>
  </si>
  <si>
    <t>ДОХОДЫ:</t>
  </si>
  <si>
    <t>Другие источники</t>
  </si>
  <si>
    <t>РАСХОДЫ:</t>
  </si>
  <si>
    <t>Обязательные расходы</t>
  </si>
  <si>
    <t>Продукты</t>
  </si>
  <si>
    <t>Автомобиль</t>
  </si>
  <si>
    <t>Развлечения</t>
  </si>
  <si>
    <t>Товары для дома</t>
  </si>
  <si>
    <t>Забота о себе</t>
  </si>
  <si>
    <t>Образование</t>
  </si>
  <si>
    <t>Разное</t>
  </si>
  <si>
    <t>Бизнес</t>
  </si>
  <si>
    <t>ИТОГО:</t>
  </si>
  <si>
    <t>Доход</t>
  </si>
  <si>
    <t>Расход</t>
  </si>
  <si>
    <t>Остаток с предыдущего месяца</t>
  </si>
  <si>
    <t>Итого остаток</t>
  </si>
  <si>
    <t>Супруг (Рома)</t>
  </si>
  <si>
    <t>август</t>
  </si>
  <si>
    <t>Супруг(Маша)</t>
  </si>
  <si>
    <t>ОГО!</t>
  </si>
  <si>
    <t>График выплат</t>
  </si>
  <si>
    <t>Дата расчёта</t>
  </si>
  <si>
    <t>Начисленные проценты, руб.</t>
  </si>
  <si>
    <t>Уплаченный налог, руб.</t>
  </si>
  <si>
    <t>Пополнение вклада, руб.</t>
  </si>
  <si>
    <t>Сумма вклада на конец периода, руб.</t>
  </si>
  <si>
    <t>1 месяц</t>
  </si>
  <si>
    <t>2 месяц</t>
  </si>
  <si>
    <t>3 месяц</t>
  </si>
  <si>
    <t>4 месяц</t>
  </si>
  <si>
    <t>5 месяц</t>
  </si>
  <si>
    <t>6 месяц</t>
  </si>
  <si>
    <t>7 месяц</t>
  </si>
  <si>
    <t>8 месяц</t>
  </si>
  <si>
    <t>9 месяц</t>
  </si>
  <si>
    <t>10 месяц</t>
  </si>
  <si>
    <t>11 месяц</t>
  </si>
  <si>
    <t>1 год</t>
  </si>
  <si>
    <t xml:space="preserve">Пополнение в конце месяца регулярное </t>
  </si>
  <si>
    <t>Ставка, год</t>
  </si>
  <si>
    <t xml:space="preserve">Открытие </t>
  </si>
  <si>
    <t>Реинвестированные проценты, руб.</t>
  </si>
  <si>
    <t>ИТОГО за год:</t>
  </si>
  <si>
    <t>(проверьте на вирус этот сайт, прежде)</t>
  </si>
  <si>
    <t xml:space="preserve">http://fincalculator.ru/kalkulyator-vkladov </t>
  </si>
  <si>
    <t>База 365 дней, точное количество дней в месяце, сложные проценты, ежедневная капитализация</t>
  </si>
  <si>
    <t>Взнос в страх. программу</t>
  </si>
  <si>
    <t>Сумма в конце срока</t>
  </si>
  <si>
    <t xml:space="preserve">2. В конце второго года к началу первого года НЗП выросла еще на 10 % или в 1,1*1,1 раза </t>
  </si>
  <si>
    <t xml:space="preserve">1. В конце первого года к началу года НЗП выросла на 10 % или в 1,1 раза </t>
  </si>
  <si>
    <t>Год</t>
  </si>
  <si>
    <t>Инфляция к 2014 г.</t>
  </si>
  <si>
    <t>Срок</t>
  </si>
  <si>
    <t>1. Определяем ∂</t>
  </si>
  <si>
    <t>2.Определяем Кн. Кн=1+n*r=1+∂/К</t>
  </si>
  <si>
    <t>3. Определяем S. S=P*Kн</t>
  </si>
  <si>
    <t>( с 10 января по 15 июля 18 г.)</t>
  </si>
  <si>
    <t>2. Определяем нецелое кол-во дней в периоде (в днях)</t>
  </si>
  <si>
    <t>переводим годовую ставку в месячную r/m или 0,16/12</t>
  </si>
  <si>
    <t>3. Периодов в годе, m</t>
  </si>
  <si>
    <t xml:space="preserve">4.  Полных периодов начисления </t>
  </si>
  <si>
    <t>5.Определяем Кн. Кн=(1+r/m)^(n*m+a), где a=∂/∂1</t>
  </si>
  <si>
    <t>6. Определяем S. S=P*Kн</t>
  </si>
  <si>
    <t>Банк 1</t>
  </si>
  <si>
    <t>S=</t>
  </si>
  <si>
    <t>Простые проценты. S=P*Кн=P*(1+n*r)</t>
  </si>
  <si>
    <t>Cложные проценты. S=P*Кн=P*(1+r/m)^(n*m+a)</t>
  </si>
  <si>
    <t>Банк 3</t>
  </si>
  <si>
    <t>n=1, m -нет, a-нет</t>
  </si>
  <si>
    <t>Банк 4</t>
  </si>
  <si>
    <t>n=1, m -2, a-нет</t>
  </si>
  <si>
    <t>Банк 5</t>
  </si>
  <si>
    <t>n=1, m -4, a-нет</t>
  </si>
  <si>
    <t>n=1, m -12, a-нет</t>
  </si>
  <si>
    <t>1. Определяем материальную выгоду клиента 20%-(7,5%+5%)=</t>
  </si>
  <si>
    <t>2. Налог (35% по руб.) составит 7,50%*35%=</t>
  </si>
  <si>
    <t>3. Ставка по депозиту с учетом налога оставит 20%-2,63%=</t>
  </si>
  <si>
    <t>1. Определяем сколько по руб. депозиту клиент заработает за первый год S=P*(1+r)^n</t>
  </si>
  <si>
    <t>2. Определяем сколько клиент купил USD  и EUR</t>
  </si>
  <si>
    <t>Клиент купит долларов 74550,00/2/69,69 =</t>
  </si>
  <si>
    <t>Клиент купит евро 74550,00/2/77 =</t>
  </si>
  <si>
    <t xml:space="preserve">3. Определяем сколько в валюте еще через год клиент получит по депозитам </t>
  </si>
  <si>
    <t>4. Определяем сколько это в рублях в конце второго года с учетом покупки рублей</t>
  </si>
  <si>
    <t>74 550,00*(1+0,075)^1</t>
  </si>
  <si>
    <t>Итого:</t>
  </si>
  <si>
    <r>
      <t>r = (</t>
    </r>
    <r>
      <rPr>
        <b/>
        <sz val="11"/>
        <color theme="1"/>
        <rFont val="Times New Roman"/>
        <family val="1"/>
        <charset val="204"/>
      </rPr>
      <t>9p</t>
    </r>
    <r>
      <rPr>
        <sz val="11"/>
        <color theme="1"/>
        <rFont val="Times New Roman"/>
        <family val="1"/>
        <charset val="204"/>
      </rPr>
      <t>-p)/p = 8p/p = 8, то есть r=800%</t>
    </r>
  </si>
  <si>
    <r>
      <t xml:space="preserve"> </t>
    </r>
    <r>
      <rPr>
        <b/>
        <sz val="14"/>
        <color rgb="FF7030A0"/>
        <rFont val="Times New Roman"/>
        <family val="1"/>
        <charset val="204"/>
      </rPr>
      <t>r</t>
    </r>
    <r>
      <rPr>
        <b/>
        <sz val="9"/>
        <color rgb="FF7030A0"/>
        <rFont val="Times New Roman"/>
        <family val="1"/>
        <charset val="204"/>
      </rPr>
      <t>(r)</t>
    </r>
    <r>
      <rPr>
        <b/>
        <sz val="11"/>
        <color rgb="FF7030A0"/>
        <rFont val="Times New Roman"/>
        <family val="1"/>
        <charset val="204"/>
      </rPr>
      <t xml:space="preserve"> - реальная 
процентная ставка</t>
    </r>
  </si>
  <si>
    <r>
      <t xml:space="preserve">Нужно накопить за 13 лет: 2 млн руб. Ежемесячный платеж в конце каждого месяца (10% от среднемесячного дохода семьи) 20 тыс. руб.  
Воспользуемся встроенной в Excel  формулой и рассчитаем сколько мы за 13 лет накопим в программе накопительного страхования. Принимаем уровень гарантированной доходности по такой программе в 4% год. (все что свыше будем считать за отличное управление нашими страховыми взносами, на которые мы не рассчитывали).
</t>
    </r>
    <r>
      <rPr>
        <b/>
        <sz val="12"/>
        <color rgb="FF7030A0"/>
        <rFont val="Times New Roman"/>
        <family val="1"/>
        <charset val="204"/>
      </rPr>
      <t>Ответ: 4 083 442,52 руб. Это означает, что мы можем иногда даже не вносить сумму очередного платежа.</t>
    </r>
  </si>
  <si>
    <t>4. Формула реального дохода РЗП=НЗП/(1+ Темп инфляции) или (1,1)^3/(1,05)^3, разы</t>
  </si>
  <si>
    <t>3. В конце третьего года к началу первого года НЗП выросла еще на 10 % или в (1,1)^3, разы</t>
  </si>
  <si>
    <t>Сколько времени понадобится вкладчику, чтобы удвоить сумму вклада, если ставка по депозиту 11%, а проценты начисляются и капитализируются ежегодно?</t>
  </si>
  <si>
    <t>1. Сумма вклада (P) Х, итоговая сумма (2Х)</t>
  </si>
  <si>
    <t>2. Тогда 2Х=Х*(1+r)^n, далее 2=(1+r)^n</t>
  </si>
  <si>
    <t>3. 2=(1,11)^n  или n=lg(1,11)2=</t>
  </si>
  <si>
    <t>года</t>
  </si>
  <si>
    <t>5. Сравним со стратегией, когда на второй год клиент положил бы еще раз на руб. депозит</t>
  </si>
  <si>
    <t>Пример. Через два года заемщик всего заплатит банку кредита с учетом процентов (S) 50 000 руб. Проценты платятся один раз в конце срока. Какая сумма кредита выдана банком клиенту сегодня, если процентная ставка по кредиту 11% (r) годовых? Определить сегодняшнюю сумму кредита (P), если проценты начисляются по сложной ставке.</t>
  </si>
  <si>
    <t>Сегодняшняя стоимость из будущей определяется делением P=S/(1+r/m)^(n*m+a)</t>
  </si>
  <si>
    <t>P=</t>
  </si>
  <si>
    <t>Ответ</t>
  </si>
  <si>
    <t>Первый  банк КАСКО  7% от суммы кредита</t>
  </si>
  <si>
    <t>Второй банк КАСКО  7,8% от суммы кредита</t>
  </si>
  <si>
    <t>Первый банк (переплата)</t>
  </si>
  <si>
    <t>Второй банк (переплата)</t>
  </si>
  <si>
    <t>Первый банк (ПСК)</t>
  </si>
  <si>
    <t>Второй банк (ПСК)</t>
  </si>
  <si>
    <t xml:space="preserve">В "Расширенных настройках" калькулятора указал, что выходной или праздничный день переносим на последующий рабочий день.  </t>
  </si>
  <si>
    <t>P</t>
  </si>
  <si>
    <t>2. Из нее выводим PMT</t>
  </si>
  <si>
    <t xml:space="preserve">4. Ответ: </t>
  </si>
  <si>
    <t>Итого за 3 г.</t>
  </si>
  <si>
    <t>1. Дроздов во второй год ничего не предпринимает. Считаем доход за второй год (проценты простые) Кн=(1+r)</t>
  </si>
  <si>
    <t>далее считаем доход второго года, руб. Доход = P*Kн-P</t>
  </si>
  <si>
    <t xml:space="preserve">400 тыс. руб. под 9% годовых в конце второго года дают </t>
  </si>
  <si>
    <t>с учетом первого года (30 тыс. руб. за первый год)  общий итог будет:</t>
  </si>
  <si>
    <t xml:space="preserve">3. Дроздов прекращает вклад и кладет 470 тыс. руб. под 9% </t>
  </si>
  <si>
    <t>(возврат 470 тыс. руб., банк удержал ранее выплаченные 30 тыс. руб.)</t>
  </si>
  <si>
    <t>2. Дроздов частично снимает, оставляя неснижаемый остаток, а 400 тыс. руб. кладет под 9%,тогда</t>
  </si>
  <si>
    <t>Период</t>
  </si>
  <si>
    <t>Годы</t>
  </si>
  <si>
    <t>1000/(1+0,05)^1</t>
  </si>
  <si>
    <t>1000/(1+0,05)^5</t>
  </si>
  <si>
    <t>1000/(1+0,05)^10</t>
  </si>
  <si>
    <t>1000/(1+0,05)^15</t>
  </si>
  <si>
    <t>1000/(1+0,05)^20</t>
  </si>
  <si>
    <t>1. Фактор дисконтирования 1/(1+r)^n</t>
  </si>
  <si>
    <t xml:space="preserve">Первоначальный взнос </t>
  </si>
  <si>
    <t>300*5/(1+0,05)^1</t>
  </si>
  <si>
    <t>300*5/(1+0,05)^2</t>
  </si>
  <si>
    <t>300*5/(1+0,05)^3</t>
  </si>
  <si>
    <t>300*5/(1+0,05)^4</t>
  </si>
  <si>
    <t>300*5/(1+0,05)^5</t>
  </si>
  <si>
    <t>300*5/(1+0,05)^6</t>
  </si>
  <si>
    <t>300*5/(1+0,05)^7</t>
  </si>
  <si>
    <t>300*5/(1+0,05)^8</t>
  </si>
  <si>
    <t>300*5/(1+0,05)^9</t>
  </si>
  <si>
    <t>300*5/(1+0,05)^10</t>
  </si>
  <si>
    <t xml:space="preserve"> Кн=(1+0,16/12)^(6+0,47)</t>
  </si>
  <si>
    <t xml:space="preserve"> и теперь "a" (14/30)</t>
  </si>
  <si>
    <t>450*5/(1+0,05)^1</t>
  </si>
  <si>
    <t>450*5/(1+0,05)^2</t>
  </si>
  <si>
    <t>450*5/(1+0,05)^3</t>
  </si>
  <si>
    <t>450*5/(1+0,05)^4</t>
  </si>
  <si>
    <t>450*5/(1+0,05)^5</t>
  </si>
  <si>
    <t>450*5/(1+0,05)^6</t>
  </si>
  <si>
    <t>450*5/(1+0,05)^7</t>
  </si>
  <si>
    <t>450*5/(1+0,05)^8</t>
  </si>
  <si>
    <t>450*5/(1+0,05)^9</t>
  </si>
  <si>
    <t>450*5/(1+0,05)^10</t>
  </si>
  <si>
    <t>Платежи</t>
  </si>
  <si>
    <t>P сегодня</t>
  </si>
  <si>
    <t>"A" Итого :"</t>
  </si>
  <si>
    <t>2. Cтиральная машина "А" за десять лет.</t>
  </si>
  <si>
    <t>"B" Итого :</t>
  </si>
  <si>
    <t>стиральная машина "B" за десять лет.</t>
  </si>
  <si>
    <t>Cложные проценты. S=P*Кн=P*(1+r/m)^(n*m+a), первый квартал</t>
  </si>
  <si>
    <t>Сумма выплаченных равно 0.</t>
  </si>
  <si>
    <t>1 Квартал</t>
  </si>
  <si>
    <t>Итого за год:</t>
  </si>
  <si>
    <t>1. Считаем первый вариант вклада, снимать можно ставка 5,5%</t>
  </si>
  <si>
    <t>Снял</t>
  </si>
  <si>
    <t xml:space="preserve">1 год, доход </t>
  </si>
  <si>
    <t xml:space="preserve">2 год, доход </t>
  </si>
  <si>
    <t xml:space="preserve">3 год, доход </t>
  </si>
  <si>
    <t xml:space="preserve">4 год, доход </t>
  </si>
  <si>
    <t xml:space="preserve">5 год, доход </t>
  </si>
  <si>
    <t>Итого доход</t>
  </si>
  <si>
    <t>(r)</t>
  </si>
  <si>
    <t>1 год</t>
  </si>
  <si>
    <t>2 года</t>
  </si>
  <si>
    <t>3 года</t>
  </si>
  <si>
    <t>4 года</t>
  </si>
  <si>
    <t>5 лет</t>
  </si>
  <si>
    <t>1 года</t>
  </si>
  <si>
    <t>5 года</t>
  </si>
  <si>
    <t>Забрал вклад 100 тыс. руб.</t>
  </si>
  <si>
    <t>2. Считаем второй вариант вклада, снимать нельзя, ставки на разный срок разные</t>
  </si>
  <si>
    <t>январь</t>
  </si>
  <si>
    <t>февраль</t>
  </si>
  <si>
    <t>март</t>
  </si>
  <si>
    <t>май</t>
  </si>
  <si>
    <t>июнь</t>
  </si>
  <si>
    <t>Используем формулу S=Кн*P = P*(1+r/100*∂/K)</t>
  </si>
  <si>
    <t>Считаем проценты за каждый месяц.</t>
  </si>
  <si>
    <t>Рассчитаем сколько будет итоговая сумма (S) в конце срока:</t>
  </si>
  <si>
    <t>апрель</t>
  </si>
  <si>
    <t>4.  Определим реальную процентную ставку с учетом инфляции и налога 20%-2,63%-6%=</t>
  </si>
  <si>
    <t>Вспомним S=P*(1+r/m)^(n*m+a), так будущая стоимость определяется из сегодняшней</t>
  </si>
  <si>
    <t>1. Фактор дисконтирования за первый год (1+r)^1, n=1, m  и  a отсутствуют</t>
  </si>
  <si>
    <t>2. Фактор дисконтирования за второй год (1+r)^1, n=1, m  и  a отсутствуют</t>
  </si>
  <si>
    <t>3. Фактор дисконтирования за два года (1+r)^2, n=2, m  и  a отсутствуют</t>
  </si>
  <si>
    <t xml:space="preserve">Ответ: Сегодняшняя стоимость будущего платежа (S) равна </t>
  </si>
  <si>
    <t xml:space="preserve">100 тыс. руб. под 6% годовых в конце второго года дают </t>
  </si>
  <si>
    <r>
      <t>Клиент разместил 70 000 руб. (P) на годовом депозите под 6,5% (r) годовых (сложные проценты, раз в год). По прошествии года он, заметив "девальвацию" (сейчас модно пугать словом "девальвация" население, хотя после 2014 г, когда главной задачей ЦБ РФ стала борьба с инфляцией, к плавающему курсу люди постепенно привыкают, для информации с 2000 г по 2018 г. падение курса доллара к евро и наоборот доходило до 100%, однако никого этим не пугают!) рубля по отношению к доллару США и евро и решил перевести свои сбережения в эти валюты. На половину своих сбережений клиент приобрёл доллары США по курсу 69 (</t>
    </r>
    <r>
      <rPr>
        <b/>
        <sz val="12"/>
        <rFont val="Times New Roman"/>
        <family val="1"/>
        <charset val="204"/>
      </rPr>
      <t>обменный пункт взял еще за это 1% комиссии дополнительно</t>
    </r>
    <r>
      <rPr>
        <sz val="12"/>
        <rFont val="Times New Roman"/>
        <family val="1"/>
        <charset val="204"/>
      </rPr>
      <t>) и разместил их на долларовом депозите под 2,5% (r) годовых. На другую половину сбережений он приобрёл евро по курсу 77 (без комиссии) и разместил на соответствующем депозите под 2% (r) годовых. Рассчитайте итоговую сумму, которую получит клиент по прошествии двух лет в рублёвом выражении, если известно, что в конце второго года он продал доллары США по курсу 65, а евро — по 74, все без комиссии. Сравните полученный результат с результатом, который клиент Алексей мог бы получить, если бы и на второй год оставил свои сбережения на рублёвом депозите под 7,5% (r) годовых?</t>
    </r>
  </si>
  <si>
    <r>
      <t>1. Определяем n, нет "n", так как как вклад меньше года</t>
    </r>
    <r>
      <rPr>
        <b/>
        <sz val="11"/>
        <rFont val="Times New Roman"/>
        <family val="1"/>
        <charset val="204"/>
      </rPr>
      <t xml:space="preserve"> </t>
    </r>
  </si>
  <si>
    <t>(вклад с 10 января по 15 июля 18 г.)</t>
  </si>
  <si>
    <t>Деньги внесены 1 января (праздники опускаем), банк начнет начислять только утром 2-ого числа, т.е. дней в январе 30!</t>
  </si>
  <si>
    <t>Q1</t>
  </si>
  <si>
    <t>Q3</t>
  </si>
  <si>
    <t>Q4</t>
  </si>
  <si>
    <t>Q5</t>
  </si>
  <si>
    <t>Q6</t>
  </si>
  <si>
    <t>r(м): (1+r(m))^12=1+r, тогда r(m)=(1+r)^(1/12)-1</t>
  </si>
  <si>
    <t>Теперь все подобное: платеж и ставка ежемесячные</t>
  </si>
  <si>
    <t xml:space="preserve"> r - ставка по "вечному" депозиту</t>
  </si>
  <si>
    <t>Тут хитрость. Ставка годовая, а выплаты по депозиту ежемесячные</t>
  </si>
  <si>
    <t>1. Находим месячную ставку из годовой
процентов</t>
  </si>
  <si>
    <t>2. Формула "вечной ренты" Р=C/r, где С - платеж периодический и бесконечный</t>
  </si>
  <si>
    <t>Считаем сколько купил акций Инвестор. К1=P/Ц1 округляя в меньшую сторону</t>
  </si>
  <si>
    <t>Инвестор заработал за год дохода</t>
  </si>
  <si>
    <t>Поскольку округляли, то осталось денег на брокерском счете 100 000,00-(530*188,40)</t>
  </si>
  <si>
    <t>1. Инвестор первоначально внес (P) 100 тыс. руб. и по цене Ц1 купил акций Сбербанка(об.)</t>
  </si>
  <si>
    <t>Поскольку округляли, то осталось денег на брокерском счете (P-150)/(К1*Ц1(ком.))</t>
  </si>
  <si>
    <t>Ц1 (ком.)=Ц1+Ц1*(0,0001+0,00041)</t>
  </si>
  <si>
    <t>Считаем кол-во цен. Бумаг купленных инвестором, округляя вниз К1 = (P-150)/Ц1 (ком.)</t>
  </si>
  <si>
    <t>4. Инвестор через год продал по Ц2</t>
  </si>
  <si>
    <t>Ц2 (ком.)=Ц2-Ц2*(0,0001+0,00041)</t>
  </si>
  <si>
    <t>S(див)=К1*(Цд-Цд*0,13)</t>
  </si>
  <si>
    <t>2. Считаем сколько инвестор получил в июле 18 г. дивидендов К1*Цд с учетом налога на див-ов</t>
  </si>
  <si>
    <r>
      <t xml:space="preserve">25.09.17 инвестор через брокера купил на 100 тыс.руб. (P) на бирже акции Сбербанка (обыкновенные) по (Ц1) 188,40 руб. за одну акцию. Год акции хранились на счете депо в депозитарии. 25.09.18 г. инвестор продал через брокера акции Сбербанка (об.) на бирже по цене (Ц2) 196,50 руб. Сколько в руб. заработал/потерял инвестор от такой инвестиции без учета комиссий проф. участников РЦБ (Sк)? 
Какая доходность такой операции? 
Информация о цене акции взята: </t>
    </r>
    <r>
      <rPr>
        <sz val="11"/>
        <color rgb="FF0070C0"/>
        <rFont val="Times New Roman"/>
        <family val="1"/>
        <charset val="204"/>
      </rPr>
      <t>https://smart-lab.ru/forum/SBER/page584/</t>
    </r>
  </si>
  <si>
    <t>Итого с учетом остатка в 148,00 руб. у инвестора в конце года (Sк)</t>
  </si>
  <si>
    <t>2. Считаем сколько через год получил денег от продажи Sк=К1*Ц2</t>
  </si>
  <si>
    <t>3. Доходность такой операции (Sк-P)/P*100%</t>
  </si>
  <si>
    <t>Поскольку покупали, то было движение по счету депо, депозитарий возьмет 150 руб.</t>
  </si>
  <si>
    <t>Считаем сколько получил денег инвестор от продажи акций с учетом налога по доходу на курс. стоимость,</t>
  </si>
  <si>
    <t>с учетом комиссий биржи и брокера, с учетом комиссии депозитария</t>
  </si>
  <si>
    <t>при продаже есть движение по счету депо, депозитарий возьмет 150 руб.</t>
  </si>
  <si>
    <t xml:space="preserve"> Sk   =</t>
  </si>
  <si>
    <t>S(див) =</t>
  </si>
  <si>
    <t>Всего инвестор заработал с учетом всех платежей</t>
  </si>
  <si>
    <t>S (общая)=Sk+S(див)=</t>
  </si>
  <si>
    <t>5. Доходность такой операции (S(общая)-P)/P*100%</t>
  </si>
  <si>
    <t>Sк=(К1*Ц2(ком.)-150 руб.) - ((Ц2(ком.)-Ц1(ком.))*К1-150 руб.)*0,13 + 1руб. (на брокер. счете остался 1 руб.)</t>
  </si>
  <si>
    <t>Инвестор заработал за год чистого дохода</t>
  </si>
  <si>
    <t>Считаем стоимость покупки одной акции с учетом комиссии брокера и биржи</t>
  </si>
  <si>
    <t>Считаем стоимость продажи одной акции с учетом комиссии брокера и биржи</t>
  </si>
  <si>
    <t xml:space="preserve">Кейс 1 </t>
  </si>
  <si>
    <t>Q2*</t>
  </si>
  <si>
    <t>* Cумма во втором квартале превысила порог и ставка уменьшилась до 5% годовых</t>
  </si>
  <si>
    <t>(G282/A282^(2/3)-1**</t>
  </si>
  <si>
    <t>** S/P - это сколько заработали за 1,5 года. Тогда за год с учетом сложных процентов необходимо возвести в степень 2/3</t>
  </si>
  <si>
    <t>S</t>
  </si>
  <si>
    <t>S/P</t>
  </si>
  <si>
    <t>возводим это в степень 2/3</t>
  </si>
  <si>
    <t xml:space="preserve">и вычитаем 1 </t>
  </si>
  <si>
    <t>P, тыс. руб.</t>
  </si>
  <si>
    <t>Ставка</t>
  </si>
  <si>
    <t>Проценты</t>
  </si>
  <si>
    <t>1. Инвестор купил такую облигацию за 85% от номинала. 100% номинала -15 % дисконта</t>
  </si>
  <si>
    <t>В руб. он потратил 1 000 руб.*85%</t>
  </si>
  <si>
    <t xml:space="preserve">3. Доходность такой операции составила </t>
  </si>
  <si>
    <t>2 cпособ</t>
  </si>
  <si>
    <t xml:space="preserve">Определите доходность (r) облигации бескупонной номиналом (N) 1 000 руб., если дисконт при размещении эмиссии составляет 15%? </t>
  </si>
  <si>
    <t>(N-P)/P*100%</t>
  </si>
  <si>
    <t>N/P*100%-1</t>
  </si>
  <si>
    <t>2. В конце срока Эмитент (N) выплатил по такой операции 100% или 1 000 руб.</t>
  </si>
  <si>
    <t>В год (проценты не капитализируются)  Эмитент выплатит 4*30</t>
  </si>
  <si>
    <t>1. Эмитент в квартал платит купона N*r к</t>
  </si>
  <si>
    <t>(N+4*r к)/N*100%-1</t>
  </si>
  <si>
    <t xml:space="preserve">1 способ стандартный </t>
  </si>
  <si>
    <t>К</t>
  </si>
  <si>
    <t>К в год</t>
  </si>
  <si>
    <t>r =</t>
  </si>
  <si>
    <t xml:space="preserve">2. Цена (PV1) изменилась до 120% от номинала или 1 200 руб. </t>
  </si>
  <si>
    <t>Cчитаем купонный доход N*r к</t>
  </si>
  <si>
    <t xml:space="preserve">Общий доход: доход от купона +доход от курсовой разницы </t>
  </si>
  <si>
    <t>Считаем доходность к погашению Доход общий/N*100%</t>
  </si>
  <si>
    <t>1. Считаем текущую доходность купона по цене приобретения (r)</t>
  </si>
  <si>
    <t>1. Считаем доход от курсовой разницы N-PV</t>
  </si>
  <si>
    <t>2. Считаем доход от курсовой разницы N-PV</t>
  </si>
  <si>
    <t>(по такой цене эмитент не разместит!)</t>
  </si>
  <si>
    <t xml:space="preserve">"Грязная " цена облигации "Чистая" плюс НКД </t>
  </si>
  <si>
    <t>2. Облигация будет продана по цене 100% от номинала или за 100 руб. - так, как стоит котировка на бирже.</t>
  </si>
  <si>
    <t>N * (r k)/4 * (фактических дней с даты последней выплаты/дней в периоде)</t>
  </si>
  <si>
    <t xml:space="preserve">3. НО! Покупатель заплатит Инвестору еще 24,00 руб. НКД </t>
  </si>
  <si>
    <t xml:space="preserve">1. Определим размер НКД в руб. накопленных за 54 дня </t>
  </si>
  <si>
    <t>1. Находим стоимость одного пая на 17.11.17 г. СЧА/кол-во паев</t>
  </si>
  <si>
    <t xml:space="preserve">2. Считаем сколько Александр может купить паев  </t>
  </si>
  <si>
    <t>P/((стоимость пая*размер надбавки)+стоимость пая)</t>
  </si>
  <si>
    <t xml:space="preserve">Кол-во паев </t>
  </si>
  <si>
    <t>2. Считаем сколько получит денег Николай от продажи 17.11.17 г. 7-ми паев</t>
  </si>
  <si>
    <t>Кол-во паев * стоимость пая - (стоимость пая*размер скидки)</t>
  </si>
  <si>
    <t>СЧА открытого ПИФа «Илья Муромец» по состоянию на 07 ноября 17 г. Составила 1 202 959 тыс. руб. Количество паев по состоянию на вечер 06 ноября 17 г.188 082,55. Надбавка управляющей компании при покупке пая составляет 0,5%, а скидка при продаже пая 1%. Рассчитайте стоимость одного пая 17.11.17 г.? У Александра (P) 10 000,00 руб. Сколько с учетом надбавки он сможет приобрести паев фонда? У Николая есть 13,78 пая фонда. Сколько Николай получит денег с учетом скидки при продаже 7 паев?</t>
  </si>
  <si>
    <t>Сумма</t>
  </si>
  <si>
    <r>
      <t xml:space="preserve">Номинал (N) облигации 1000 руб., цена (PV) приобретения 940 руб., годовой купон (r к) 14,5%. </t>
    </r>
    <r>
      <rPr>
        <b/>
        <sz val="11"/>
        <rFont val="Times New Roman"/>
        <family val="1"/>
        <charset val="204"/>
      </rPr>
      <t>Срок обращения один год</t>
    </r>
    <r>
      <rPr>
        <sz val="11"/>
        <rFont val="Times New Roman"/>
        <family val="1"/>
        <charset val="204"/>
      </rPr>
      <t xml:space="preserve"> Определить доходность к погашению (r)?  Цена приобретения стала 120% от номинала, какова стала доходность к погашению? НКД равен 0 руб., так как облигация куплена в первый день обращения</t>
    </r>
  </si>
  <si>
    <t>Цена облигации</t>
  </si>
  <si>
    <t>Номинал</t>
  </si>
  <si>
    <t>Ставка купона</t>
  </si>
  <si>
    <t>Всего периодов</t>
  </si>
  <si>
    <t>Доходность к погашению</t>
  </si>
  <si>
    <t>Доходность одного периода</t>
  </si>
  <si>
    <t>Первый платеж сейчас или в конце периода</t>
  </si>
  <si>
    <t>Сумма купона в рублях</t>
  </si>
  <si>
    <t>P77/2 если раз в полгода или P77, или P77/4</t>
  </si>
  <si>
    <t>Количество купонов в году</t>
  </si>
  <si>
    <t>ДКП</t>
  </si>
  <si>
    <t>Цена в % от N</t>
  </si>
  <si>
    <t xml:space="preserve">Доходность одного периода </t>
  </si>
  <si>
    <t>Цена облигации   PV</t>
  </si>
  <si>
    <t>курс EUR/RUB + комиссия 1% (76,19+0,01*76,19)</t>
  </si>
  <si>
    <t xml:space="preserve">3. Очевидно, что необходимо купить у первого банка </t>
  </si>
  <si>
    <t>Сколько будет стоить 200 евро в таком случае: EUR*курс EUR/USD</t>
  </si>
  <si>
    <t>У Михаила есть 15 500,00 руб. Ему необходимо купить 200 евро. Один банк предлагает курс EUR/RUB 76,05/76,20 без комиссии, второй банк предлагает курс 76,10/76,19 и комиссия 1 %. 
В каком банке купить валюту Михаилу? А если ему надо продать EUR за рубли, то в каком?</t>
  </si>
  <si>
    <t>4. Определяем по какому курсу будет происходить продажа EUR в первом банке</t>
  </si>
  <si>
    <t>1. Определяем по какому курсу будет происходить покупка EUR в первом банке</t>
  </si>
  <si>
    <t>2. Определяем по какому курсу будет происходить покупка EUR во втором банке</t>
  </si>
  <si>
    <t>курс EUR/RUB - комиссия 1% (76,10-0,01*76,10)</t>
  </si>
  <si>
    <t>5. Определяем по какому курсу будет происходить продажа EUR во втором банке</t>
  </si>
  <si>
    <t xml:space="preserve">6. Очевидно, что необходимо продать первому банку </t>
  </si>
  <si>
    <t>Сколько Михаил получит рублей от продажи 200 евро: EUR*курс EUR/USD</t>
  </si>
  <si>
    <t xml:space="preserve">Михаил купит 200 евро в первом банке и у него еще останется </t>
  </si>
  <si>
    <t xml:space="preserve">с учетом комиссии в 1% </t>
  </si>
  <si>
    <t xml:space="preserve">Дефляция </t>
  </si>
  <si>
    <t>Инфляция</t>
  </si>
  <si>
    <t>Итого за 4 г.</t>
  </si>
  <si>
    <t>Средняя за 4 г.</t>
  </si>
  <si>
    <t>Акция Газпрома</t>
  </si>
  <si>
    <t>конец 15</t>
  </si>
  <si>
    <t>конец 13</t>
  </si>
  <si>
    <t>конец 18</t>
  </si>
  <si>
    <t>конец 17</t>
  </si>
  <si>
    <t>конец 16</t>
  </si>
  <si>
    <t>Цена акции</t>
  </si>
  <si>
    <t>https://smart-lab.ru/forum/GAZP/page376/</t>
  </si>
  <si>
    <t>конец 14</t>
  </si>
  <si>
    <t>%%</t>
  </si>
  <si>
    <t>https://www.statbureau.org/ru/russia/inflation-tables</t>
  </si>
  <si>
    <t>Накопленный итог</t>
  </si>
  <si>
    <t>r (реальная) = Накопленный итог по акции за 6 лет/накопленный итог по инфляции</t>
  </si>
  <si>
    <t>Если бы деньги просто лежали "под подушкой" покупательская способность денег упала бы на</t>
  </si>
  <si>
    <t xml:space="preserve">Доходность% </t>
  </si>
  <si>
    <t xml:space="preserve">Рассчитаем реальную доходность за 6 лет по акции Газпрома </t>
  </si>
  <si>
    <t>И это без учета дивидендов!</t>
  </si>
  <si>
    <t>Приход</t>
  </si>
  <si>
    <t xml:space="preserve">Внесения </t>
  </si>
  <si>
    <t>Покупка</t>
  </si>
  <si>
    <t>Операция</t>
  </si>
  <si>
    <t xml:space="preserve">Купон, в руб. </t>
  </si>
  <si>
    <t xml:space="preserve">Денежный поток </t>
  </si>
  <si>
    <t>Ставка купона в % г.</t>
  </si>
  <si>
    <t>Дата погашения</t>
  </si>
  <si>
    <t>Характеристика покупаемой ОФЗ</t>
  </si>
  <si>
    <t xml:space="preserve">Всего дней </t>
  </si>
  <si>
    <t>3 год</t>
  </si>
  <si>
    <t>2 год</t>
  </si>
  <si>
    <t>Итого дней</t>
  </si>
  <si>
    <t>Операции</t>
  </si>
  <si>
    <t>ИИС</t>
  </si>
  <si>
    <t>3. Находим инфляцию за три года  (104,8%-100%)</t>
  </si>
  <si>
    <t>PMT=356 320,00 руб.*0,09/36*1/((1+0,09/12)^(3*12)-1)</t>
  </si>
  <si>
    <t>Комиссия биржи (0,01% от суммы сделки)</t>
  </si>
  <si>
    <t>Комиссия депозитария, руб. за месяц в котором есть сделка</t>
  </si>
  <si>
    <t>Дата</t>
  </si>
  <si>
    <t>Кол-во бумаг 
с учетом комиссий</t>
  </si>
  <si>
    <t>НКД на дату
 на 1 облигацию, руб.</t>
  </si>
  <si>
    <t>Формула ВНД:  0= Внесения со знаком "-" + Приходы со знаком "+"</t>
  </si>
  <si>
    <t xml:space="preserve">ВНД или общая доходность операции </t>
  </si>
  <si>
    <t xml:space="preserve">Расчет общей доходности по операциям с ИИС в течение трех лет </t>
  </si>
  <si>
    <t>ПС</t>
  </si>
  <si>
    <t>Определите ожидаемую доходность вложения в акции, текущая рыночная стоимость которых равная (P) 140 руб. за акцию, дивиденды (выплачиваются раз в год) составляют (Sд) 4 руб. на акцию, а ожидаемая цена через год равна (Sk) 150 руб. за одну ценную бумагу.</t>
  </si>
  <si>
    <t xml:space="preserve"> на определенный момент времени: Sк+Sд = Sобщая</t>
  </si>
  <si>
    <t xml:space="preserve">1. Полная стоимость акции складывается из суммы дивиденда на акцию (Sд) и курса (Sк) </t>
  </si>
  <si>
    <t xml:space="preserve">2. Через год вероятная цена акции будет равна 150 руб.+4 руб. дивидендов </t>
  </si>
  <si>
    <t>3. Доходность считаем по обычной формуле (S-P)/P*100%</t>
  </si>
  <si>
    <t>Доходность депозита по определению равна</t>
  </si>
  <si>
    <t>2. Инвестор составил портфель из: 50% вложено в акцию и 50% вложено в облигацию.</t>
  </si>
  <si>
    <t>Доходность акции будет равна (Sобщая акции-P)/P*100</t>
  </si>
  <si>
    <t xml:space="preserve">1. Посчитаем цену курса акции (S к акции ) через год с учетом вероятностного распределения </t>
  </si>
  <si>
    <t>Цена 1 (81$) возможна с вероятностью 33,33%, Цена 2 (105$) с вероятностью 40%, Цена 3 (120$) с вероятностью 26,67%</t>
  </si>
  <si>
    <t>Тогда Sk акции через год ожидается  Sк = Ц1*Вероятность1+Ц2*В2+Ц3*В3</t>
  </si>
  <si>
    <t>С учетом дивидендов общая ожидаемая стоимость будет S об. акции = Sд+Sк</t>
  </si>
  <si>
    <t>Посчитаем сколько будет стоить такой портфель через год (Sп)</t>
  </si>
  <si>
    <t>Доходность такого портфеля равна (Sп - P) /P *100%</t>
  </si>
  <si>
    <t>Способ расчета исходя из веса актива в портфеле и доходности актива</t>
  </si>
  <si>
    <t xml:space="preserve">Sп = 50%*Доходность акции +50% * доходность облигации </t>
  </si>
  <si>
    <t>Доходность облигации (N - P)/P</t>
  </si>
  <si>
    <t xml:space="preserve">Sп =S общая акции + N облигации </t>
  </si>
  <si>
    <t>Обратите внимание, мы даже не считали сколько акций и облигаций купили на 200$</t>
  </si>
  <si>
    <t xml:space="preserve">1. Купон в конце года будет равен N*r к </t>
  </si>
  <si>
    <t>Налог НДФЛ по купонам ОФЗ равен нулю</t>
  </si>
  <si>
    <t>2. За пять лет Инвестор получит  5* 150 руб.</t>
  </si>
  <si>
    <t>Пусть доходность к погашению однолетней облигации растет с темпом 2% в год и в первый год составляет 8% годовых. Чему должен равняться доходность к погашению (r) трехлетней облигации, чтобы для инвестора возможности вложения три года подряд в однолетние облигации и вложения один раз в трехлетнюю облигацию были одинаково выгодны?</t>
  </si>
  <si>
    <t>2. В задаче спрашивается чему равна доходность к погашению (r) трехлетней облигации, чтобы Инвестору</t>
  </si>
  <si>
    <t>Уравниваем:</t>
  </si>
  <si>
    <t>в 1-ый год: Кн1 = (1+8%), в конце 2-ого года: Кн2=Kн1*(1+2%) и в конце 3-его года: Кн3=Кн2*(1+2%)</t>
  </si>
  <si>
    <t>(1+r)^3 (трехлетняя!)= (1+8%)*(1+8%)*(1+2%)*(1+8%)*(1+2%)^2</t>
  </si>
  <si>
    <t>3. Итак, если доходность к погашению трехлетней облигации равна 10,16%, то Инвестору все рано</t>
  </si>
  <si>
    <t xml:space="preserve">или купить трехлетнюю сразу или покупать три раза однолетние в течение трех лет у Инвестора нет арбитража. </t>
  </si>
  <si>
    <t>Что равно (куб сокращается): r=(1+8%)*(1*2%)-1</t>
  </si>
  <si>
    <t>было все равно куда вложить деньги, так доходы должны быть равны!</t>
  </si>
  <si>
    <t>Только вот будет ли доходность однолетней через год такой как сейчас!</t>
  </si>
  <si>
    <t>1. Считаем сколько паев купил пайщик.</t>
  </si>
  <si>
    <t xml:space="preserve">ПИФ акций </t>
  </si>
  <si>
    <t xml:space="preserve">ПИФ облигаций </t>
  </si>
  <si>
    <t>Pа/Ц1</t>
  </si>
  <si>
    <t>Pо/Ц2</t>
  </si>
  <si>
    <t>2. Считаем сколько стал стоить портфель из 10 паев ПИФа акций и 30 паев ПИФа облигаций</t>
  </si>
  <si>
    <t>Кол-во ПИФа акций*Ц3+Кол-во ПИФа облигаций * Ц4</t>
  </si>
  <si>
    <t xml:space="preserve">Sп </t>
  </si>
  <si>
    <t>3. Итого Пайщик потерял Sп-P</t>
  </si>
  <si>
    <t>Доходность такой операции за год составила (Sп/P-1)*100%</t>
  </si>
  <si>
    <t>( и так по кругу каждые три года)</t>
  </si>
  <si>
    <t xml:space="preserve">Номинал (N) облигации 1000 руб., цена (PV) приобретения 940 руб., годовой купон (r к) 14,5%. Срок обращения один год. Определить текущую доходность купона (r текущая)?  Цена изменилась и стала 120% от номинала, какова стала текущая доходность? 
</t>
  </si>
  <si>
    <t>r (текущая) =N*r k/PV</t>
  </si>
  <si>
    <t>Тогда текущая доходность стала r (текущая) = N*r k/PV1</t>
  </si>
  <si>
    <t>Ключевая ставка (ставка рефинансирования) равна 7,5%. Банк предлагает ставку по депозиту на один год 20%. Сколько банк удержит налога и какая будет процентная ставка в действительности с учетом налога? Инфляция 6 % составила в год, когда действовал депозитные договор. Какова реальная процентная ставка по договору с учетом инфляции и налога?</t>
  </si>
  <si>
    <t>3. Дивидендную доходность акций Сбербанка(об.) (без учета комиссий и налога, так на рынке принято)</t>
  </si>
  <si>
    <t>ДД = Цд/Ц1 = 12/188,4</t>
  </si>
  <si>
    <t>ДД = Цд/Ц1 (12/188,4)</t>
  </si>
  <si>
    <t>Жилищное страхование</t>
  </si>
  <si>
    <t>Имущественное страхование</t>
  </si>
  <si>
    <t>Медицинское страхование</t>
  </si>
  <si>
    <t>Личное страхование</t>
  </si>
  <si>
    <t>Накопительное страхование жизни, пенсионное страхование</t>
  </si>
  <si>
    <t>Огневые риски и риски стихийных бедствий</t>
  </si>
  <si>
    <t>Страхование выезжающих за рубеж</t>
  </si>
  <si>
    <t>Страхование грузов</t>
  </si>
  <si>
    <t>Страхование общей гражданской ответственности перед третьими лицами</t>
  </si>
  <si>
    <t>Страхование ответственности</t>
  </si>
  <si>
    <t>Страхование от несчастного случая</t>
  </si>
  <si>
    <t>Страхование ответственности владельца автотранспортного средства</t>
  </si>
  <si>
    <t>Страхование ответственности за нанесение вреда экологии</t>
  </si>
  <si>
    <t>Страхование ответственности работодателя</t>
  </si>
  <si>
    <t>Страхование ответственности товаропроизводителя, производителя услуг</t>
  </si>
  <si>
    <t>Страхование перерыва в бизнесе</t>
  </si>
  <si>
    <t>Страхование профессиональной ответственности</t>
  </si>
  <si>
    <t>Страхование строительно-монтажных рисков</t>
  </si>
  <si>
    <t>Страхование транспортных средств</t>
  </si>
  <si>
    <t>Возраст, лет</t>
  </si>
  <si>
    <t>Выход на пенсию, лет</t>
  </si>
  <si>
    <t xml:space="preserve">Начало </t>
  </si>
  <si>
    <t xml:space="preserve">Ежемесячный взнос </t>
  </si>
  <si>
    <t xml:space="preserve">Завершение </t>
  </si>
  <si>
    <t xml:space="preserve">в 2017 такой результат в среднем показали управляющие компании по накопительным суммам будущих пенсий </t>
  </si>
  <si>
    <t>Всего</t>
  </si>
  <si>
    <t xml:space="preserve">Накопленная сумма </t>
  </si>
  <si>
    <t>Всего сумма взносов за 42 г.</t>
  </si>
  <si>
    <t>&lt;= это десять процентов от заработка. Годовой заработок</t>
  </si>
  <si>
    <t xml:space="preserve">К выходу на пенсию мужчина накопит </t>
  </si>
  <si>
    <t>в т.ч. %</t>
  </si>
  <si>
    <t>годовых заработка</t>
  </si>
  <si>
    <t>https://www.kommersant.ru/doc/3618518</t>
  </si>
  <si>
    <t>+</t>
  </si>
  <si>
    <t>-</t>
  </si>
  <si>
    <t>Бессовестность</t>
  </si>
  <si>
    <t>Честность</t>
  </si>
  <si>
    <t>Цинизм</t>
  </si>
  <si>
    <t>Бессердечие</t>
  </si>
  <si>
    <t>Лживость</t>
  </si>
  <si>
    <t>Изобретательность</t>
  </si>
  <si>
    <t>Бескорыстная помощь</t>
  </si>
  <si>
    <t>Изощренность в обмане</t>
  </si>
  <si>
    <t>Подозрительность</t>
  </si>
  <si>
    <t>Гибкость мышления</t>
  </si>
  <si>
    <t>Легкость в смене убеждений</t>
  </si>
  <si>
    <t>Добросердечие</t>
  </si>
  <si>
    <t>Готовность к неожиданным и нестандартным ситуациям</t>
  </si>
  <si>
    <t>Доброта и отзывчивость</t>
  </si>
  <si>
    <t>Актерские способности</t>
  </si>
  <si>
    <t>Черта характера</t>
  </si>
  <si>
    <t>Порядковый</t>
  </si>
  <si>
    <t>номер</t>
  </si>
  <si>
    <t>Варианты ответов</t>
  </si>
  <si>
    <t>Касательно открывания сайтов платежных систем по ссылкам в письмах</t>
  </si>
  <si>
    <r>
      <t>Ответ</t>
    </r>
    <r>
      <rPr>
        <sz val="11"/>
        <color theme="1"/>
        <rFont val="Times New Roman"/>
        <family val="1"/>
        <charset val="204"/>
      </rPr>
      <t xml:space="preserve">: </t>
    </r>
  </si>
  <si>
    <t>Относительно сообщения своих паролей третьим лицам</t>
  </si>
  <si>
    <t xml:space="preserve">Хранение секретных данных (файлов) на носителях информации </t>
  </si>
  <si>
    <t>Следует ли делать резервные копии ключей или программ в тех процессорах, в которых это предписывается</t>
  </si>
  <si>
    <t xml:space="preserve">Вы ищите работу по интернету и Вас просят уплатить регистрационный взнос, ваши действия </t>
  </si>
  <si>
    <t>Вы получили предложение выслать незначительную сумму денежных средств в обмен на обещание получить в 40 раз больше</t>
  </si>
  <si>
    <t>Вас приглашают принять участие в лотерее по розыгрышу БМВ</t>
  </si>
  <si>
    <t>Вы получили письмо о проблеме с вашим счетом</t>
  </si>
  <si>
    <t>Неизвестный Вам человек просит Вас дать ему кредит</t>
  </si>
  <si>
    <r>
      <t>Ответ</t>
    </r>
    <r>
      <rPr>
        <sz val="11"/>
        <color theme="1"/>
        <rFont val="Times New Roman"/>
        <family val="1"/>
        <charset val="204"/>
      </rPr>
      <t xml:space="preserve">: </t>
    </r>
    <r>
      <rPr>
        <b/>
        <sz val="11"/>
        <color theme="1"/>
        <rFont val="Times New Roman"/>
        <family val="1"/>
        <charset val="204"/>
      </rPr>
      <t>Никогда не открывать сайты платёжных систем по ссылкам</t>
    </r>
  </si>
  <si>
    <r>
      <t>Ответ</t>
    </r>
    <r>
      <rPr>
        <sz val="11"/>
        <color theme="1"/>
        <rFont val="Times New Roman"/>
        <family val="1"/>
        <charset val="204"/>
      </rPr>
      <t xml:space="preserve">: </t>
    </r>
    <r>
      <rPr>
        <b/>
        <sz val="11"/>
        <color theme="1"/>
        <rFont val="Times New Roman"/>
        <family val="1"/>
        <charset val="204"/>
      </rPr>
      <t>Никому не сообщать свои пароли, даже родственникам</t>
    </r>
  </si>
  <si>
    <r>
      <t>Ответ</t>
    </r>
    <r>
      <rPr>
        <sz val="11"/>
        <color theme="1"/>
        <rFont val="Times New Roman"/>
        <family val="1"/>
        <charset val="204"/>
      </rPr>
      <t xml:space="preserve">: </t>
    </r>
    <r>
      <rPr>
        <b/>
        <sz val="11"/>
        <color theme="1"/>
        <rFont val="Times New Roman"/>
        <family val="1"/>
        <charset val="204"/>
      </rPr>
      <t>Не хранить секретные данные на общедоступных носителях информации</t>
    </r>
    <r>
      <rPr>
        <sz val="11"/>
        <color theme="1"/>
        <rFont val="Times New Roman"/>
        <family val="1"/>
        <charset val="204"/>
      </rPr>
      <t>.</t>
    </r>
  </si>
  <si>
    <r>
      <t>Ответ</t>
    </r>
    <r>
      <rPr>
        <sz val="11"/>
        <color theme="1"/>
        <rFont val="Times New Roman"/>
        <family val="1"/>
        <charset val="204"/>
      </rPr>
      <t xml:space="preserve">: </t>
    </r>
    <r>
      <rPr>
        <b/>
        <sz val="11"/>
        <color theme="1"/>
        <rFont val="Times New Roman"/>
        <family val="1"/>
        <charset val="204"/>
      </rPr>
      <t>Резервные копии ключей или программ следует делать на флэш накопителях или внешних дисках</t>
    </r>
    <r>
      <rPr>
        <sz val="11"/>
        <color theme="1"/>
        <rFont val="Times New Roman"/>
        <family val="1"/>
        <charset val="204"/>
      </rPr>
      <t xml:space="preserve">. </t>
    </r>
  </si>
  <si>
    <r>
      <t>Ответ</t>
    </r>
    <r>
      <rPr>
        <sz val="11"/>
        <color theme="1"/>
        <rFont val="Times New Roman"/>
        <family val="1"/>
        <charset val="204"/>
      </rPr>
      <t xml:space="preserve">: </t>
    </r>
    <r>
      <rPr>
        <b/>
        <sz val="11"/>
        <color theme="1"/>
        <rFont val="Times New Roman"/>
        <family val="1"/>
        <charset val="204"/>
      </rPr>
      <t>Не уплачивать запрашиваемый регистрационных взнос, так как это признак мошеннической схемы</t>
    </r>
    <r>
      <rPr>
        <sz val="11"/>
        <color theme="1"/>
        <rFont val="Times New Roman"/>
        <family val="1"/>
        <charset val="204"/>
      </rPr>
      <t>.</t>
    </r>
  </si>
  <si>
    <r>
      <t>Ответ</t>
    </r>
    <r>
      <rPr>
        <sz val="11"/>
        <color theme="1"/>
        <rFont val="Times New Roman"/>
        <family val="1"/>
        <charset val="204"/>
      </rPr>
      <t xml:space="preserve">: </t>
    </r>
    <r>
      <rPr>
        <b/>
        <sz val="11"/>
        <color theme="1"/>
        <rFont val="Times New Roman"/>
        <family val="1"/>
        <charset val="204"/>
      </rPr>
      <t>Оставить такое предложение без ответа и никаких денежных сумм не высылать.</t>
    </r>
    <r>
      <rPr>
        <sz val="11"/>
        <color theme="1"/>
        <rFont val="Times New Roman"/>
        <family val="1"/>
        <charset val="204"/>
      </rPr>
      <t xml:space="preserve"> </t>
    </r>
  </si>
  <si>
    <r>
      <t>Ответ</t>
    </r>
    <r>
      <rPr>
        <sz val="11"/>
        <color theme="1"/>
        <rFont val="Times New Roman"/>
        <family val="1"/>
        <charset val="204"/>
      </rPr>
      <t xml:space="preserve">: </t>
    </r>
    <r>
      <rPr>
        <b/>
        <sz val="11"/>
        <color theme="1"/>
        <rFont val="Times New Roman"/>
        <family val="1"/>
        <charset val="204"/>
      </rPr>
      <t>Проигнорировать это приглашение</t>
    </r>
    <r>
      <rPr>
        <sz val="11"/>
        <color theme="1"/>
        <rFont val="Times New Roman"/>
        <family val="1"/>
        <charset val="204"/>
      </rPr>
      <t>.</t>
    </r>
  </si>
  <si>
    <r>
      <t>Ответ</t>
    </r>
    <r>
      <rPr>
        <sz val="11"/>
        <color theme="1"/>
        <rFont val="Times New Roman"/>
        <family val="1"/>
        <charset val="204"/>
      </rPr>
      <t xml:space="preserve">: </t>
    </r>
    <r>
      <rPr>
        <b/>
        <sz val="11"/>
        <color theme="1"/>
        <rFont val="Times New Roman"/>
        <family val="1"/>
        <charset val="204"/>
      </rPr>
      <t>Не реагировать на это письмо</t>
    </r>
    <r>
      <rPr>
        <sz val="11"/>
        <color theme="1"/>
        <rFont val="Times New Roman"/>
        <family val="1"/>
        <charset val="204"/>
      </rPr>
      <t xml:space="preserve">. </t>
    </r>
  </si>
  <si>
    <r>
      <t>Ответ</t>
    </r>
    <r>
      <rPr>
        <sz val="11"/>
        <color theme="1"/>
        <rFont val="Times New Roman"/>
        <family val="1"/>
        <charset val="204"/>
      </rPr>
      <t xml:space="preserve">: </t>
    </r>
    <r>
      <rPr>
        <b/>
        <sz val="11"/>
        <color theme="1"/>
        <rFont val="Times New Roman"/>
        <family val="1"/>
        <charset val="204"/>
      </rPr>
      <t>Никогда не давать кредиты неизвестным людям</t>
    </r>
    <r>
      <rPr>
        <sz val="11"/>
        <color theme="1"/>
        <rFont val="Times New Roman"/>
        <family val="1"/>
        <charset val="204"/>
      </rPr>
      <t>.</t>
    </r>
  </si>
  <si>
    <t>(вставьте 1 если сегодня или 0 если в конце</t>
  </si>
  <si>
    <t>Допустим акция 
выросла в, раз</t>
  </si>
  <si>
    <t>Сумма за ед-цу продукции, руб.</t>
  </si>
  <si>
    <t>реальный располагаемый доходов 2010 г.</t>
  </si>
  <si>
    <t>реальный располагаемый доходов 2011 г.</t>
  </si>
  <si>
    <t>Прирост реального располагаемого с 2010 по2011 гг.</t>
  </si>
  <si>
    <t>Курс USD с учетом комиссии будет равен 69,00 + 69,00*1%, руб. за 1 долл.</t>
  </si>
  <si>
    <t>Тогда машина через три года (FV) будет стоить 340 тыс. руб. *1,048</t>
  </si>
  <si>
    <t>Номинал, руб.</t>
  </si>
  <si>
    <t>График платежей, руб.</t>
  </si>
  <si>
    <t xml:space="preserve">Комиссия биржи 
с 1 облигации, руб. </t>
  </si>
  <si>
    <t>Комиссия брокера 
с 1 облигации, руб.</t>
  </si>
  <si>
    <t>Цена покупки  ("Грязная" = "Чистая" плюс НКД ), руб.</t>
  </si>
  <si>
    <t xml:space="preserve"> Входим в "Данные", далее  в "Анализ что если" и далее в "Подбор параметра",</t>
  </si>
  <si>
    <t>Доходность управления (% сложные)</t>
  </si>
  <si>
    <t>Ежемесячный взнос и ставку можно менять</t>
  </si>
  <si>
    <t xml:space="preserve">Срок тоже, но это потребует изменения в </t>
  </si>
  <si>
    <t>столбце A</t>
  </si>
  <si>
    <t xml:space="preserve">Коэффициент замещения </t>
  </si>
  <si>
    <t>3. Выплаты из накопленой суммы составит</t>
  </si>
  <si>
    <t xml:space="preserve">4. Общая пенсия (1.+3.)  </t>
  </si>
  <si>
    <t>вставляем в "Установить в ячейке" номер ячейки " I34 "</t>
  </si>
  <si>
    <t>вставляем в "Изменяя значение ячейки" номер ячейки " M31 "</t>
  </si>
  <si>
    <t xml:space="preserve">&lt;= решаем уравнение: ячейка I32+(-I31)=0: </t>
  </si>
  <si>
    <t>Николай хочет ежемесячно получать доход по депозиту в размере (S) 30 тыс. руб. Какая должна быть сумма вклада (P), если процентная ставка по такому депозиту ( r ) 5 % годовых?</t>
  </si>
  <si>
    <t>Поскольку округляли, то осталось денег на брокерском счете (P-150)-/(К1*Ц1(ком.))</t>
  </si>
  <si>
    <r>
      <t xml:space="preserve">2. Воспользуемся встроенной в Excel  формулой и рассчитаем как долго мы можем вносить по 35 тыс. руб. на пополняемый/снимаемый депозит с годовой процентной ставкой 5%, чтобы накопленная сумма была не меньше 125 тыс. руб. (125+35=160 тыс. руб.) 
</t>
    </r>
    <r>
      <rPr>
        <b/>
        <sz val="11"/>
        <color rgb="FF7030A0"/>
        <rFont val="Times New Roman"/>
        <family val="1"/>
        <charset val="204"/>
      </rPr>
      <t xml:space="preserve">Ответ: не менее 4 мес. После 4-рех месяцев оставив неснижаемый остаток (10 тыс. руб. на депозите - он будет находиться на депозите конца срока депозита) можно забрать сумму и положить 130 877,43 руб. РК на счет до востребования, где уже лежит 50 тыс. руб. В конце пятого месяца доложить на счет до востребования еще сумму 29 122,57 руб. (50 000+130 877,43+29 122,57) и РК в 210 тыс. руб. сформирован. Можно преступить к формированию фонда отпуска причем там уже есть 10 тыс. руб. Подумайте куда можно потрать 5 877,43 руб. оставшихся в конце 5-ого месяца? </t>
    </r>
  </si>
  <si>
    <r>
      <t xml:space="preserve">3. Нужно накопить: 200-10 = 190 тыс. руб. 
Воспользуемся встроенной в Excel  формулой и рассчитаем как долго мы можем вносить по 35 тыс. руб. на пополняемый депозит с годовой процентной ставкой 5%, чтобы накопленная сумма была не меньше 200 тыс. руб. </t>
    </r>
    <r>
      <rPr>
        <b/>
        <sz val="11"/>
        <color rgb="FF7030A0"/>
        <rFont val="Times New Roman"/>
        <family val="1"/>
        <charset val="204"/>
      </rPr>
      <t>Ответ: не менее 5 мес. После 5-ти месяцев сумма будет 176 464,42 руб. В конце 6 месяца сумма будет 211 464,42 руб. Можно снять 200 тыс. руб. и отправится в отпуск, а депозит еще будет существовать два месяца.</t>
    </r>
  </si>
  <si>
    <t>Примеры расчета льготного налогообложения в сфере страхования жизни</t>
  </si>
  <si>
    <t>Ст. 213 Налогового кодекса предусмартивает 2 варианта расчета НДФЛ по дожитию</t>
  </si>
  <si>
    <t>Обще условие</t>
  </si>
  <si>
    <t>Расчет</t>
  </si>
  <si>
    <t>Срок ИСЖ (или НСЖ) 5 лет, взнос 1 млн руб</t>
  </si>
  <si>
    <t>ДИД (дополнительный инвестиционный доход) составил 400 000 рублей</t>
  </si>
  <si>
    <t>Необходимо заранее спросить какой порядок налогоблажения применяет страховщик</t>
  </si>
  <si>
    <t xml:space="preserve">За 5-ть лет ставка рефинасирования (пусть в течение 5-ти лет ставка не менялась) суммируется </t>
  </si>
  <si>
    <t>Тогда общая ставка за 5-ть лет 8,25%*5= 41,25</t>
  </si>
  <si>
    <t>Вариант 2</t>
  </si>
  <si>
    <t>Тогда общая ставка за 5-ть лет 8,25%</t>
  </si>
  <si>
    <t>Рассчитаем 1 млн. руб. * 41,25% = 412 500 руб.</t>
  </si>
  <si>
    <t>ДИД составил за 5 лет 400 000 руб. НДФЛ страховщик не удерживает</t>
  </si>
  <si>
    <t>Рассчитаем 1 млн. руб. * 8,25% = 82 500 руб.</t>
  </si>
  <si>
    <t>ДИД составил за 5 лет 400 000 руб. НДФЛ страховщик удерживает</t>
  </si>
  <si>
    <t>Сумма удержания (400 000 - 82 500)*13%</t>
  </si>
  <si>
    <t>Физическое лицо обратно получит 1 млн 400 тыс. руб.</t>
  </si>
  <si>
    <t>Физическое лицо обратно получит 1 млн 358,7 тыс. руб.</t>
  </si>
  <si>
    <r>
      <t>Вариант 1</t>
    </r>
    <r>
      <rPr>
        <b/>
        <sz val="11"/>
        <color rgb="FFFF0000"/>
        <rFont val="Calibri"/>
        <family val="2"/>
        <charset val="204"/>
        <scheme val="minor"/>
      </rPr>
      <t xml:space="preserve"> (более выгодный для физического лица)</t>
    </r>
  </si>
  <si>
    <t>Ставка рефинасирования за пять лет принята на момент подписания договора.</t>
  </si>
  <si>
    <r>
      <rPr>
        <b/>
        <sz val="11"/>
        <color rgb="FFFF0000"/>
        <rFont val="Times New Roman"/>
        <family val="1"/>
        <charset val="204"/>
      </rPr>
      <t xml:space="preserve">Задача 1. </t>
    </r>
    <r>
      <rPr>
        <b/>
        <sz val="11"/>
        <color theme="1"/>
        <rFont val="Times New Roman"/>
        <family val="1"/>
        <charset val="204"/>
      </rPr>
      <t xml:space="preserve">
Изменение стоимости  
потребительской корзины, %</t>
    </r>
  </si>
  <si>
    <r>
      <rPr>
        <b/>
        <sz val="11"/>
        <color rgb="FFFF0000"/>
        <rFont val="Times New Roman"/>
        <family val="1"/>
        <charset val="204"/>
      </rPr>
      <t>Задача 2</t>
    </r>
    <r>
      <rPr>
        <b/>
        <sz val="11"/>
        <color theme="1"/>
        <rFont val="Times New Roman"/>
        <family val="1"/>
        <charset val="204"/>
      </rPr>
      <t xml:space="preserve">
Задача на сообразительность</t>
    </r>
  </si>
  <si>
    <r>
      <rPr>
        <b/>
        <sz val="11"/>
        <color rgb="FFFF0000"/>
        <rFont val="Times New Roman"/>
        <family val="1"/>
        <charset val="204"/>
      </rPr>
      <t xml:space="preserve">Задача 3. </t>
    </r>
    <r>
      <rPr>
        <b/>
        <sz val="11"/>
        <color theme="1"/>
        <rFont val="Times New Roman"/>
        <family val="1"/>
        <charset val="204"/>
      </rPr>
      <t>Расчет накопленной инфляции за несколько лет к базовому году. Базовый год 2014 г.</t>
    </r>
  </si>
  <si>
    <r>
      <rPr>
        <b/>
        <sz val="11"/>
        <color rgb="FFFF0000"/>
        <rFont val="Times New Roman"/>
        <family val="1"/>
        <charset val="204"/>
      </rPr>
      <t xml:space="preserve">Задача 4. </t>
    </r>
    <r>
      <rPr>
        <b/>
        <sz val="11"/>
        <color theme="1"/>
        <rFont val="Times New Roman"/>
        <family val="1"/>
        <charset val="204"/>
      </rPr>
      <t>Расчет инфляции за период по данным инфляции каждого года (конец года к началу года)</t>
    </r>
  </si>
  <si>
    <t>Задачи для возможного использования преподавтелем на занятиях</t>
  </si>
  <si>
    <r>
      <rPr>
        <b/>
        <sz val="12"/>
        <color rgb="FFFF0000"/>
        <rFont val="Times New Roman"/>
        <family val="1"/>
        <charset val="204"/>
      </rPr>
      <t>Задача 7.</t>
    </r>
    <r>
      <rPr>
        <b/>
        <sz val="12"/>
        <color theme="1"/>
        <rFont val="Times New Roman"/>
        <family val="1"/>
        <charset val="204"/>
      </rPr>
      <t xml:space="preserve"> Предсталена таблица из Задания 9 МР, для возможного использования преподавателем при подготовке занятий с использованием в качестве примера Задания 9.</t>
    </r>
    <r>
      <rPr>
        <sz val="12"/>
        <color theme="1"/>
        <rFont val="Times New Roman"/>
        <family val="1"/>
        <charset val="204"/>
      </rPr>
      <t xml:space="preserve"> Пример расчета оптимизации расходов</t>
    </r>
  </si>
  <si>
    <r>
      <rPr>
        <b/>
        <sz val="12"/>
        <color rgb="FFFF0000"/>
        <rFont val="Times New Roman"/>
        <family val="1"/>
        <charset val="204"/>
      </rPr>
      <t>Задача 6.</t>
    </r>
    <r>
      <rPr>
        <b/>
        <sz val="12"/>
        <color theme="1"/>
        <rFont val="Times New Roman"/>
        <family val="1"/>
        <charset val="204"/>
      </rPr>
      <t xml:space="preserve"> Предсталена таблица из Задания 7 МР, для возможного использования преподавателем при подготовке занятий с использованием в качестве примера Задания 7. </t>
    </r>
    <r>
      <rPr>
        <sz val="12"/>
        <color theme="1"/>
        <rFont val="Times New Roman"/>
        <family val="1"/>
        <charset val="204"/>
      </rPr>
      <t>Пример расчета бюджета</t>
    </r>
  </si>
  <si>
    <r>
      <rPr>
        <b/>
        <sz val="12"/>
        <color rgb="FFFF0000"/>
        <rFont val="Times New Roman"/>
        <family val="1"/>
        <charset val="204"/>
      </rPr>
      <t>Задача 5.</t>
    </r>
    <r>
      <rPr>
        <b/>
        <sz val="12"/>
        <color theme="1"/>
        <rFont val="Times New Roman"/>
        <family val="1"/>
        <charset val="204"/>
      </rPr>
      <t xml:space="preserve"> Предсталена таблица из Задания 6 МР, для возможного использования преподавателем при подготовке занятий с использованием в качестве примера Задания 6. </t>
    </r>
    <r>
      <rPr>
        <sz val="12"/>
        <color theme="1"/>
        <rFont val="Times New Roman"/>
        <family val="1"/>
        <charset val="204"/>
      </rPr>
      <t>Опишите основные составляющие финансового планирования человека. Какие шаги нужно предпринять, чтобы составить финансовый план? Выберите для себя конкретную финансовую цель (например, покупку машины, компьютера и т. д.). Составьте план управления активами, доходами и расходами, который позволит достичь выбранной цели.</t>
    </r>
  </si>
  <si>
    <r>
      <rPr>
        <b/>
        <sz val="12"/>
        <color rgb="FFFF0000"/>
        <rFont val="Times New Roman"/>
        <family val="1"/>
        <charset val="204"/>
      </rPr>
      <t>Задача 9.</t>
    </r>
    <r>
      <rPr>
        <b/>
        <sz val="12"/>
        <color theme="1"/>
        <rFont val="Times New Roman"/>
        <family val="1"/>
        <charset val="204"/>
      </rPr>
      <t xml:space="preserve"> Разобрана Задача 2 МР.</t>
    </r>
    <r>
      <rPr>
        <sz val="12"/>
        <color theme="1"/>
        <rFont val="Times New Roman"/>
        <family val="1"/>
        <charset val="204"/>
      </rPr>
      <t xml:space="preserve"> В 2010 г. зарплата гр. Смирнова до уплаты налогов составляла 100 тыс. руб. В 2011 г. зарплата Смирнова выросла до 120 тыс. руб. При этом уровень инфляции за год составил 7%. На сколько процентов увеличились номинальные доходы Смирнова? Реальные доходы Смирнова? Реальные располагаемые доходы Смирнова?</t>
    </r>
  </si>
  <si>
    <r>
      <rPr>
        <b/>
        <sz val="12"/>
        <color rgb="FFFF0000"/>
        <rFont val="Times New Roman"/>
        <family val="1"/>
        <charset val="204"/>
      </rPr>
      <t>Задача 11.</t>
    </r>
    <r>
      <rPr>
        <b/>
        <sz val="12"/>
        <color theme="1"/>
        <rFont val="Times New Roman"/>
        <family val="1"/>
        <charset val="204"/>
      </rPr>
      <t xml:space="preserve"> Разобрана Задача 7 МР.</t>
    </r>
    <r>
      <rPr>
        <sz val="12"/>
        <color theme="1"/>
        <rFont val="Times New Roman"/>
        <family val="1"/>
        <charset val="204"/>
      </rPr>
      <t xml:space="preserve"> Определите, на сколько процентов вырастет заработная плата Марии за 3 года, если ежегодная индексация составляет 10%. Как изменится реальная покупательная способность Марии, если годовой темп инфляции будет равен 5%?</t>
    </r>
  </si>
  <si>
    <r>
      <t xml:space="preserve">Таблица к </t>
    </r>
    <r>
      <rPr>
        <b/>
        <sz val="11"/>
        <color rgb="FFFF0000"/>
        <rFont val="Calibri"/>
        <family val="2"/>
        <charset val="204"/>
        <scheme val="minor"/>
      </rPr>
      <t>Задаче 12</t>
    </r>
  </si>
  <si>
    <t>Упражнения из Методических рекомендаций (далее МР). Представлены таблицы из раздела "Кейсы". Тема 1.1</t>
  </si>
  <si>
    <r>
      <rPr>
        <b/>
        <sz val="11"/>
        <color rgb="FFFF0000"/>
        <rFont val="Times New Roman"/>
        <family val="1"/>
        <charset val="204"/>
      </rPr>
      <t xml:space="preserve">Кейс 2. </t>
    </r>
    <r>
      <rPr>
        <b/>
        <sz val="11"/>
        <color theme="1"/>
        <rFont val="Times New Roman"/>
        <family val="1"/>
        <charset val="204"/>
      </rPr>
      <t xml:space="preserve">Пример расчета депозита, Сумма первоначальная </t>
    </r>
  </si>
  <si>
    <r>
      <rPr>
        <b/>
        <sz val="11"/>
        <color rgb="FFFF0000"/>
        <rFont val="Times New Roman"/>
        <family val="1"/>
        <charset val="204"/>
      </rPr>
      <t>Кейс 1.</t>
    </r>
    <r>
      <rPr>
        <b/>
        <sz val="11"/>
        <color theme="1"/>
        <rFont val="Times New Roman"/>
        <family val="1"/>
        <charset val="204"/>
      </rPr>
      <t xml:space="preserve"> Пример таблицы бюджета</t>
    </r>
  </si>
  <si>
    <r>
      <rPr>
        <b/>
        <sz val="11"/>
        <color rgb="FFFF0000"/>
        <rFont val="Times New Roman"/>
        <family val="1"/>
        <charset val="204"/>
      </rPr>
      <t xml:space="preserve">Задача 13. </t>
    </r>
    <r>
      <rPr>
        <b/>
        <sz val="11"/>
        <color theme="1"/>
        <rFont val="Times New Roman"/>
        <family val="1"/>
        <charset val="204"/>
      </rPr>
      <t>Расчет количества дней</t>
    </r>
  </si>
  <si>
    <r>
      <rPr>
        <b/>
        <sz val="11"/>
        <color rgb="FFFF0000"/>
        <rFont val="Times New Roman"/>
        <family val="1"/>
        <charset val="204"/>
      </rPr>
      <t xml:space="preserve">Задача 14. </t>
    </r>
    <r>
      <rPr>
        <b/>
        <sz val="11"/>
        <color theme="1"/>
        <rFont val="Times New Roman"/>
        <family val="1"/>
        <charset val="204"/>
      </rPr>
      <t>Задача на сообразительность</t>
    </r>
  </si>
  <si>
    <r>
      <rPr>
        <b/>
        <sz val="11"/>
        <color rgb="FFFF0000"/>
        <rFont val="Times New Roman"/>
        <family val="1"/>
        <charset val="204"/>
      </rPr>
      <t xml:space="preserve">Задача 15. </t>
    </r>
    <r>
      <rPr>
        <b/>
        <sz val="11"/>
        <color theme="1"/>
        <rFont val="Times New Roman"/>
        <family val="1"/>
        <charset val="204"/>
      </rPr>
      <t>Задача на сообразительность</t>
    </r>
  </si>
  <si>
    <r>
      <rPr>
        <b/>
        <sz val="11"/>
        <color rgb="FFFF0000"/>
        <rFont val="Times New Roman"/>
        <family val="1"/>
        <charset val="204"/>
      </rPr>
      <t>Задача 18.</t>
    </r>
    <r>
      <rPr>
        <b/>
        <sz val="11"/>
        <rFont val="Times New Roman"/>
        <family val="1"/>
        <charset val="204"/>
      </rPr>
      <t xml:space="preserve"> Оценка, какой депозит выгоднее </t>
    </r>
  </si>
  <si>
    <r>
      <rPr>
        <b/>
        <sz val="11"/>
        <color rgb="FFFF0000"/>
        <rFont val="Times New Roman"/>
        <family val="1"/>
        <charset val="204"/>
      </rPr>
      <t xml:space="preserve">Задача 19. </t>
    </r>
    <r>
      <rPr>
        <b/>
        <sz val="11"/>
        <rFont val="Times New Roman"/>
        <family val="1"/>
        <charset val="204"/>
      </rPr>
      <t>Налоги по депозитам и инфляция (с 18 г. также определяется налог по купону корпоративных облигаций)</t>
    </r>
  </si>
  <si>
    <r>
      <rPr>
        <b/>
        <sz val="11"/>
        <color rgb="FFFF0000"/>
        <rFont val="Times New Roman"/>
        <family val="1"/>
        <charset val="204"/>
      </rPr>
      <t xml:space="preserve">Задача 20. </t>
    </r>
    <r>
      <rPr>
        <b/>
        <sz val="11"/>
        <rFont val="Times New Roman"/>
        <family val="1"/>
        <charset val="204"/>
      </rPr>
      <t xml:space="preserve">Валютный риск и сравнение разных стратегий сбережения </t>
    </r>
  </si>
  <si>
    <r>
      <rPr>
        <b/>
        <sz val="11"/>
        <color rgb="FFFF0000"/>
        <rFont val="Times New Roman"/>
        <family val="1"/>
        <charset val="204"/>
      </rPr>
      <t xml:space="preserve">Задача 21. </t>
    </r>
    <r>
      <rPr>
        <b/>
        <sz val="11"/>
        <color theme="1"/>
        <rFont val="Times New Roman"/>
        <family val="1"/>
        <charset val="204"/>
      </rPr>
      <t>Дисконтирование</t>
    </r>
  </si>
  <si>
    <r>
      <rPr>
        <b/>
        <sz val="11"/>
        <color rgb="FFFF0000"/>
        <rFont val="Times New Roman"/>
        <family val="1"/>
        <charset val="204"/>
      </rPr>
      <t xml:space="preserve">Задача 22. </t>
    </r>
    <r>
      <rPr>
        <b/>
        <sz val="11"/>
        <color theme="1"/>
        <rFont val="Times New Roman"/>
        <family val="1"/>
        <charset val="204"/>
      </rPr>
      <t xml:space="preserve">Сравнение условий кредита </t>
    </r>
  </si>
  <si>
    <r>
      <rPr>
        <b/>
        <sz val="12"/>
        <color rgb="FFFF0000"/>
        <rFont val="Times New Roman"/>
        <family val="1"/>
        <charset val="204"/>
      </rPr>
      <t>Задача 28.</t>
    </r>
    <r>
      <rPr>
        <b/>
        <sz val="12"/>
        <color theme="1"/>
        <rFont val="Times New Roman"/>
        <family val="1"/>
        <charset val="204"/>
      </rPr>
      <t xml:space="preserve"> Разобрано Задание 10 МР.</t>
    </r>
    <r>
      <rPr>
        <sz val="12"/>
        <color theme="1"/>
        <rFont val="Times New Roman"/>
        <family val="1"/>
        <charset val="204"/>
      </rPr>
      <t xml:space="preserve"> Гражданин Скворцов обладает свободными средствами в размере (P) 500 000 руб. </t>
    </r>
    <r>
      <rPr>
        <b/>
        <sz val="12"/>
        <color theme="1"/>
        <rFont val="Times New Roman"/>
        <family val="1"/>
        <charset val="204"/>
      </rPr>
      <t>В течение следующих 5 лет ему предстоит ежегодно выплачивать по 100 000 руб. за обучение дочери.</t>
    </r>
    <r>
      <rPr>
        <sz val="12"/>
        <color theme="1"/>
        <rFont val="Times New Roman"/>
        <family val="1"/>
        <charset val="204"/>
      </rPr>
      <t xml:space="preserve"> В то же время, гражданин Скворцов хотел бы максимально преумножить свои сбережения. Отправившись в банк «В», гражданин Скворцов узнал, что есть два вида вкладов (см. таблицу МР, Глава 1.2) Какой выбрать?</t>
    </r>
  </si>
  <si>
    <r>
      <rPr>
        <b/>
        <sz val="12"/>
        <color rgb="FFFF0000"/>
        <rFont val="Times New Roman"/>
        <family val="1"/>
        <charset val="204"/>
      </rPr>
      <t>Задача 27.</t>
    </r>
    <r>
      <rPr>
        <b/>
        <sz val="12"/>
        <color rgb="FF000000"/>
        <rFont val="Times New Roman"/>
        <family val="1"/>
        <charset val="204"/>
      </rPr>
      <t xml:space="preserve"> Разобрано Задание 8 МР.</t>
    </r>
    <r>
      <rPr>
        <sz val="12"/>
        <color rgb="FF000000"/>
        <rFont val="Times New Roman"/>
        <family val="1"/>
        <charset val="204"/>
      </rPr>
      <t xml:space="preserve"> Гражданин Петров открыл вклад в банке «А» на сумму (P) 100 000 руб. на следующих условиях: срок договора 1 год, процентная ставка по вкладу составляет (r) 12%, возможность пополнения и частичного снятия средств со счета вклада отсутствует, начисление процентов производится на ежеквартальной основе, начисленные проценты капитализируются, выплата процентов осуществляется по истечении срока договора вклада. Сколько средств будет начислено по вкладу гражданина Петрова за первые три месяца после заключения договора вклада? Сколько из них будет выплачено? Сколько процентов будет выплачено по окончании действия договора вклада?</t>
    </r>
  </si>
  <si>
    <r>
      <rPr>
        <b/>
        <sz val="12"/>
        <color rgb="FFFF0000"/>
        <rFont val="Times New Roman"/>
        <family val="1"/>
        <charset val="204"/>
      </rPr>
      <t xml:space="preserve">Задача 25. </t>
    </r>
    <r>
      <rPr>
        <b/>
        <sz val="12"/>
        <color rgb="FF000000"/>
        <rFont val="Times New Roman"/>
        <family val="1"/>
        <charset val="204"/>
      </rPr>
      <t>Разобрано Задание 5 МР</t>
    </r>
    <r>
      <rPr>
        <sz val="12"/>
        <color rgb="FF000000"/>
        <rFont val="Times New Roman"/>
        <family val="1"/>
        <charset val="204"/>
      </rPr>
      <t>. Рассчитайте, сколько с сегодняшней точки зрения будет стоить 1000 руб., полученных через год, пять, десять, пятнадцать и двадцать лет при процентной ставке 5% (r)</t>
    </r>
  </si>
  <si>
    <r>
      <rPr>
        <b/>
        <sz val="12"/>
        <color rgb="FFFF0000"/>
        <rFont val="Times New Roman"/>
        <family val="1"/>
        <charset val="204"/>
      </rPr>
      <t>Задача 24.</t>
    </r>
    <r>
      <rPr>
        <b/>
        <sz val="12"/>
        <color rgb="FF000000"/>
        <rFont val="Times New Roman"/>
        <family val="1"/>
        <charset val="204"/>
      </rPr>
      <t xml:space="preserve"> Разобрано Задание 3 МР.</t>
    </r>
    <r>
      <rPr>
        <sz val="12"/>
        <color rgb="FF000000"/>
        <rFont val="Times New Roman"/>
        <family val="1"/>
        <charset val="204"/>
      </rPr>
      <t xml:space="preserve"> Гражданин Дроздов открыл вклад в банке «Б» на сумму (P) 500 000 руб. на следующих условиях: срок два года, ставка (r) 6%, проценты простые и начисляются ежемесячно, возможно частичное снятие средств, при досрочном расторжении потеря всех процентов. За первый год действия договора банковского вклада уровень ставок по банковским вкладам существенно вырос, процентная ставка по вкладам на сумму более 250 000 руб. теперь составляет (r) 9%. Какое решение в данной ситуации будет являться наилучшим с точки зрения увеличения дохода от вложенных средств?</t>
    </r>
  </si>
  <si>
    <r>
      <rPr>
        <b/>
        <sz val="11"/>
        <color rgb="FFFF0000"/>
        <rFont val="Times New Roman"/>
        <family val="1"/>
        <charset val="204"/>
      </rPr>
      <t xml:space="preserve">Задача 30. </t>
    </r>
    <r>
      <rPr>
        <b/>
        <sz val="11"/>
        <color theme="1"/>
        <rFont val="Times New Roman"/>
        <family val="1"/>
        <charset val="204"/>
      </rPr>
      <t>Доход по акциям: курсовая стоимость (Sк) без учета комиссий
 проф. участников РЦБ и налога НДФЛ</t>
    </r>
  </si>
  <si>
    <r>
      <rPr>
        <b/>
        <sz val="11"/>
        <color rgb="FFFF0000"/>
        <rFont val="Times New Roman"/>
        <family val="1"/>
        <charset val="204"/>
      </rPr>
      <t xml:space="preserve">Задача 31. </t>
    </r>
    <r>
      <rPr>
        <b/>
        <sz val="11"/>
        <color theme="1"/>
        <rFont val="Times New Roman"/>
        <family val="1"/>
        <charset val="204"/>
      </rPr>
      <t>Доходность (r) бескупонной облигации  при размещении c дисконтом</t>
    </r>
  </si>
  <si>
    <r>
      <rPr>
        <b/>
        <sz val="11"/>
        <color rgb="FFFF0000"/>
        <rFont val="Times New Roman"/>
        <family val="1"/>
        <charset val="204"/>
      </rPr>
      <t xml:space="preserve">Задача 32. </t>
    </r>
    <r>
      <rPr>
        <b/>
        <sz val="11"/>
        <color theme="1"/>
        <rFont val="Times New Roman"/>
        <family val="1"/>
        <charset val="204"/>
      </rPr>
      <t>Доход по акциям: курсовая стоимость (Sк) и выплата дивидендов (Sдив)
с учетом комиссий проф. участников РЦБ и налога НДФЛ</t>
    </r>
  </si>
  <si>
    <r>
      <rPr>
        <b/>
        <sz val="11"/>
        <color rgb="FFFF0000"/>
        <rFont val="Times New Roman"/>
        <family val="1"/>
        <charset val="204"/>
      </rPr>
      <t xml:space="preserve">Задача 33. </t>
    </r>
    <r>
      <rPr>
        <b/>
        <sz val="11"/>
        <color theme="1"/>
        <rFont val="Times New Roman"/>
        <family val="1"/>
        <charset val="204"/>
      </rPr>
      <t>Доходность (r) купонной облигации  с квартальным купоном</t>
    </r>
  </si>
  <si>
    <r>
      <rPr>
        <b/>
        <sz val="11"/>
        <color rgb="FFFF0000"/>
        <rFont val="Times New Roman"/>
        <family val="1"/>
        <charset val="204"/>
      </rPr>
      <t xml:space="preserve">Задача 34. </t>
    </r>
    <r>
      <rPr>
        <b/>
        <sz val="11"/>
        <color theme="1"/>
        <rFont val="Times New Roman"/>
        <family val="1"/>
        <charset val="204"/>
      </rPr>
      <t>Текущая доходность купона (r) купонной облигации с учетом цены приобретения</t>
    </r>
  </si>
  <si>
    <r>
      <rPr>
        <b/>
        <sz val="11"/>
        <color rgb="FFFF0000"/>
        <rFont val="Times New Roman"/>
        <family val="1"/>
        <charset val="204"/>
      </rPr>
      <t xml:space="preserve">Задача 35. </t>
    </r>
    <r>
      <rPr>
        <b/>
        <sz val="11"/>
        <color theme="1"/>
        <rFont val="Times New Roman"/>
        <family val="1"/>
        <charset val="204"/>
      </rPr>
      <t>Расчет накопленного купонного дохода (НКД), "чистая" цена и "грязная" цена облигации</t>
    </r>
  </si>
  <si>
    <r>
      <rPr>
        <b/>
        <sz val="11"/>
        <color rgb="FFFF0000"/>
        <rFont val="Times New Roman"/>
        <family val="1"/>
        <charset val="204"/>
      </rPr>
      <t>Задача 36.</t>
    </r>
    <r>
      <rPr>
        <b/>
        <sz val="11"/>
        <color theme="1"/>
        <rFont val="Times New Roman"/>
        <family val="1"/>
        <charset val="204"/>
      </rPr>
      <t xml:space="preserve"> Доходность к погашению (r) купонной облигации с учетом цены приобретения</t>
    </r>
  </si>
  <si>
    <r>
      <rPr>
        <b/>
        <sz val="11"/>
        <color rgb="FFFF0000"/>
        <rFont val="Times New Roman"/>
        <family val="1"/>
        <charset val="204"/>
      </rPr>
      <t>Задача 37.</t>
    </r>
    <r>
      <rPr>
        <b/>
        <sz val="11"/>
        <color theme="1"/>
        <rFont val="Times New Roman"/>
        <family val="1"/>
        <charset val="204"/>
      </rPr>
      <t xml:space="preserve"> Расчет стоимости одного ПИФа и итоговые выплаты с учетом скидок и надбавок</t>
    </r>
  </si>
  <si>
    <r>
      <t xml:space="preserve">Пример расчета валютных курсов смотри в задаче 
Валютный риск и сравнение разных стратегий сбережения </t>
    </r>
    <r>
      <rPr>
        <b/>
        <sz val="11"/>
        <color rgb="FFFF0000"/>
        <rFont val="Times New Roman"/>
        <family val="1"/>
        <charset val="204"/>
      </rPr>
      <t>см. вкладку "Банки", Задача 20</t>
    </r>
  </si>
  <si>
    <r>
      <rPr>
        <b/>
        <sz val="11"/>
        <color rgb="FFFF0000"/>
        <rFont val="Times New Roman"/>
        <family val="1"/>
        <charset val="204"/>
      </rPr>
      <t xml:space="preserve">Задача 38. </t>
    </r>
    <r>
      <rPr>
        <b/>
        <sz val="11"/>
        <color theme="1"/>
        <rFont val="Times New Roman"/>
        <family val="1"/>
        <charset val="204"/>
      </rPr>
      <t>Расчет валютного курса с учётом комиссии</t>
    </r>
  </si>
  <si>
    <r>
      <rPr>
        <b/>
        <sz val="11"/>
        <color rgb="FFFF0000"/>
        <rFont val="Times New Roman"/>
        <family val="1"/>
        <charset val="204"/>
      </rPr>
      <t xml:space="preserve">Задача 39. </t>
    </r>
    <r>
      <rPr>
        <b/>
        <sz val="11"/>
        <color theme="1"/>
        <rFont val="Times New Roman"/>
        <family val="1"/>
        <charset val="204"/>
      </rPr>
      <t>Расчет реальной доходности акции с учётом инфляции без дивидендов</t>
    </r>
  </si>
  <si>
    <r>
      <t xml:space="preserve">1. Доходность 1 однолетней облигации за три года составит, вспомним Кн </t>
    </r>
    <r>
      <rPr>
        <b/>
        <sz val="11"/>
        <color rgb="FFFF0000"/>
        <rFont val="Times New Roman"/>
        <family val="1"/>
        <charset val="204"/>
      </rPr>
      <t xml:space="preserve">(см. Вкладку ФП) </t>
    </r>
  </si>
  <si>
    <t>Модель расчета коэфициента замещения заработной платы для возможного преподавания учащимся</t>
  </si>
  <si>
    <r>
      <rPr>
        <b/>
        <sz val="11"/>
        <color rgb="FFFF0000"/>
        <rFont val="Calibri"/>
        <family val="2"/>
        <charset val="204"/>
        <scheme val="minor"/>
      </rPr>
      <t>Задача 45.</t>
    </r>
    <r>
      <rPr>
        <b/>
        <sz val="11"/>
        <rFont val="Calibri"/>
        <family val="2"/>
        <charset val="204"/>
        <scheme val="minor"/>
      </rPr>
      <t xml:space="preserve"> Представлена Таблица из Задания 12 МР, для возможного использования на занятиях</t>
    </r>
  </si>
  <si>
    <t>2. Общая таблица (приближенного) расчета доходности к погашению (ДКП) купонной облигации с большим сроком обращения</t>
  </si>
  <si>
    <t>1. Общая таблица (приближенного) расчета цены облигации в руб. купонной облигации с большим сроком обращения</t>
  </si>
  <si>
    <t>Раздел Учебного пособия 1.1 "Деньги, семейный бюджет и финансовое планирование"</t>
  </si>
  <si>
    <t xml:space="preserve">Раздел Учебного пособия 1.2 "Банки и банковские услуги. МФО" </t>
  </si>
  <si>
    <t xml:space="preserve">Раздел Учебного пособия 1.3 "Услуги некредитных небанковских организаций: как использовать грамотно?" (финансовые рынки) </t>
  </si>
  <si>
    <t xml:space="preserve">Раздел Учебного пособия 1.3 "Услуги некредитных небанковских организаций: как использовать грамотно?" (страхование) </t>
  </si>
  <si>
    <t xml:space="preserve">Раздел Учебного пособия 1.4 "Финансовые взаимоотношения с государством: налоги, социальное обеспечение граждан" </t>
  </si>
  <si>
    <t>Раздел Учебного пособия 1.5 "Ответственное (осмотрительное) поведение граждан на финансовом рынке и защита прав потребителей финансовых услуг"</t>
  </si>
  <si>
    <t xml:space="preserve">Раздел Учебного пособия 1.3 "Услуги некредитных небанковских организаций: как использовать грамотно?" (пенсионное обеспечение) </t>
  </si>
  <si>
    <t xml:space="preserve">Дополнительный материал  к Методическому пособию для преподавателей и методистов «Рекомендации для преподавателей, реализующих программу повышения квалификации «Основы финансовой грамотности, методы ее преподавания в системе основного, среднего образования и финансового просвещения сельского населения» 
Excel-файл "Примеры расчетных задач" </t>
  </si>
  <si>
    <t xml:space="preserve"> Дополнительный материал  к Методическому пособию для преподавателей и методистов «Рекомендации для преподавателей, реализующих программу повышения квалификации «Основы финансовой грамотности, методы ее преподавания в системе основного, среднего образования и финансового просвещения сельского населения» 
Excel-файл "Примеры расчетных задач" </t>
  </si>
  <si>
    <r>
      <rPr>
        <sz val="11"/>
        <rFont val="Times New Roman"/>
        <family val="1"/>
        <charset val="204"/>
      </rPr>
      <t xml:space="preserve"> Для расчета накопленной инфляции с помощью ИПЦ нужно взять последний год в периоде исследования. Показатель инфляции за исследуемый период будет равен разнице между ИПЦ последнего года и 100% базового.</t>
    </r>
    <r>
      <rPr>
        <b/>
        <sz val="11"/>
        <rFont val="Times New Roman"/>
        <family val="1"/>
        <charset val="204"/>
      </rPr>
      <t xml:space="preserve"> </t>
    </r>
    <r>
      <rPr>
        <b/>
        <sz val="11"/>
        <color rgb="FF7030A0"/>
        <rFont val="Times New Roman"/>
        <family val="1"/>
        <charset val="204"/>
      </rPr>
      <t xml:space="preserve">В 2017 г. 107,8%-100%=7,8% Стоимость потребительской корзины в конце 2017 года выросла к стоимости потребительской корзины 2014 г на 7,8% процентов </t>
    </r>
  </si>
  <si>
    <t>Сложные проценты. Предприниматель 
малого бизнеса взял кредит в банке 1 млн руб. на один год. Банк является участником программы льготного кредитования субъектов МСП, которая предлагается корпорацией МСП. Льготная ставка — 9,6%. Посчитайте сумму переплаты (сколько поцентов заплатит заемщик) при условии платежей в банк:
 один раз в год в коцне срока; 
 два раза в год, раз в полгода.</t>
  </si>
  <si>
    <t>Расчитаем переплату по кредиту за один год.</t>
  </si>
  <si>
    <t>В случае выплаты процентов по кредиту в конце срока:</t>
  </si>
  <si>
    <t>%%=P*(1+r/100%)-P</t>
  </si>
  <si>
    <t>руб.</t>
  </si>
  <si>
    <t>В случае выплаты процентов по кредиту два раза в год:</t>
  </si>
  <si>
    <t>%%=P*(1+r/2/100%)^2-P</t>
  </si>
  <si>
    <t xml:space="preserve">Чтобы понять, что выгоднее, нужно понять сколько переплатит феромер за год </t>
  </si>
  <si>
    <t>пользования кредитом.</t>
  </si>
  <si>
    <t xml:space="preserve">Расчитаем переплату по кредиту за один год. </t>
  </si>
  <si>
    <t>S=P*(1+r/100%)</t>
  </si>
  <si>
    <t>Cумма процентов (сумма переплаты) равна</t>
  </si>
  <si>
    <t>Ответ: Покупка трактора в рассрочку более выгодная</t>
  </si>
  <si>
    <r>
      <rPr>
        <b/>
        <sz val="11"/>
        <color rgb="FFFF0000"/>
        <rFont val="Times New Roman"/>
        <family val="1"/>
        <charset val="204"/>
      </rPr>
      <t>Задача 17-1.</t>
    </r>
    <r>
      <rPr>
        <b/>
        <sz val="11"/>
        <color theme="1"/>
        <rFont val="Times New Roman"/>
        <family val="1"/>
        <charset val="204"/>
      </rPr>
      <t xml:space="preserve"> Задача по теме предпринимательства</t>
    </r>
  </si>
  <si>
    <r>
      <rPr>
        <b/>
        <sz val="11"/>
        <color rgb="FFFF0000"/>
        <rFont val="Times New Roman"/>
        <family val="1"/>
        <charset val="204"/>
      </rPr>
      <t>Задача 17-2.</t>
    </r>
    <r>
      <rPr>
        <b/>
        <sz val="11"/>
        <color theme="1"/>
        <rFont val="Times New Roman"/>
        <family val="1"/>
        <charset val="204"/>
      </rPr>
      <t xml:space="preserve"> Задача по теме предпринимательства в сельском хозяйстве</t>
    </r>
  </si>
  <si>
    <r>
      <t xml:space="preserve">1. Заемщик воспользовался финансовым калькулятором </t>
    </r>
    <r>
      <rPr>
        <b/>
        <sz val="11"/>
        <color theme="1"/>
        <rFont val="Times New Roman"/>
        <family val="1"/>
        <charset val="204"/>
      </rPr>
      <t>http://fincalculator.ru/kreditnyj-kalkulyator</t>
    </r>
  </si>
  <si>
    <t>2. Заемщик рассчитал КАСКО и внес в раздел "Комиссии" финансового калькулятора</t>
  </si>
  <si>
    <t xml:space="preserve">3. Заемщик рассчитал и получил следующие результаты </t>
  </si>
  <si>
    <t>или 15,49% от суммы кредита</t>
  </si>
  <si>
    <t>или 16,17% от суммы кредита</t>
  </si>
  <si>
    <t xml:space="preserve"> Расчет приближенный! Все нужно уточнять у НПФ!</t>
  </si>
  <si>
    <t>См. Слайд 291</t>
  </si>
  <si>
    <r>
      <t xml:space="preserve">Страховая пенсия ( </t>
    </r>
    <r>
      <rPr>
        <b/>
        <sz val="11"/>
        <color rgb="FFFF0000"/>
        <rFont val="Calibri"/>
        <family val="2"/>
        <charset val="204"/>
        <scheme val="minor"/>
      </rPr>
      <t>допустим 36% от заработка</t>
    </r>
    <r>
      <rPr>
        <b/>
        <sz val="11"/>
        <color theme="1"/>
        <rFont val="Calibri"/>
        <family val="2"/>
        <charset val="204"/>
        <scheme val="minor"/>
      </rPr>
      <t>)</t>
    </r>
  </si>
  <si>
    <t>или коэфициент замещения  108%</t>
  </si>
  <si>
    <t>и еще 400 т руб. на два года, ставка:</t>
  </si>
  <si>
    <t>4. За 20 г. работодатель заплатил не менее 52 т.р. НДФЛ по основному месту работы и Вы предоставили все необходимые документы в 21 г. об этом в тер-ную налоговую</t>
  </si>
  <si>
    <t>5. Налоговая вернула Ваш на р/счет в банке в 21 г. за 20 г. руб.:</t>
  </si>
  <si>
    <t>6. Забарали депозит первый на один год и %%</t>
  </si>
  <si>
    <t>9. За 21 г. работодатель заплатил не менее 52 т.р. НДФЛ и Вы предоставили все необходимые документы в 22 г. об этом в тер-ную налоговую</t>
  </si>
  <si>
    <t>10. Налоговая вернула на Ваш р/счет в банке в 22 г. за 21 г. руб.:</t>
  </si>
  <si>
    <t>11. Забарали депозит второй, двухлетний и %%</t>
  </si>
  <si>
    <t>ОФЗ-ПД 262215 16 авг. 23</t>
  </si>
  <si>
    <t>14. За 22 г. работодатель заплатил не менее 52 т.р. НДФЛ и Вы предоставили все необходимые документы в 23 г. об этом в тер-ную налоговую</t>
  </si>
  <si>
    <t>15. Налоговая вернула на Ваш р/счет в банке в 23 г. за 22 г. руб.:</t>
  </si>
  <si>
    <t xml:space="preserve">Операции по покупке ОФЗ-ПД 26215 </t>
  </si>
  <si>
    <t>https://smart-lab.ru/q/bonds/SU26215RMFS2/</t>
  </si>
  <si>
    <t>Дата (Т+1)</t>
  </si>
  <si>
    <r>
      <t xml:space="preserve">Цена покупки </t>
    </r>
    <r>
      <rPr>
        <b/>
        <sz val="9"/>
        <color rgb="FFFF0000"/>
        <rFont val="Calibri"/>
        <family val="2"/>
        <charset val="204"/>
        <scheme val="minor"/>
      </rPr>
      <t>(прогноз)</t>
    </r>
    <r>
      <rPr>
        <b/>
        <sz val="9"/>
        <color theme="1"/>
        <rFont val="Calibri"/>
        <family val="2"/>
        <charset val="204"/>
        <scheme val="minor"/>
      </rPr>
      <t xml:space="preserve">
("Чистая"), руб.</t>
    </r>
  </si>
  <si>
    <t>Комиссия брокера (0,2% от суммы сделки)</t>
  </si>
  <si>
    <t xml:space="preserve">13. Купили 06.04.22 третий раз на 400 т.р. ОФЗ 26215 сроком на один год </t>
  </si>
  <si>
    <t xml:space="preserve">12. Внесли 05.04.2022 на ИИС еще руб.: </t>
  </si>
  <si>
    <t xml:space="preserve">8. Купили 06.04.2021 второй раз на 400 т.р. ОФЗ 26215 сроком на два года  </t>
  </si>
  <si>
    <t>7. Внесли 05.04.2021 на ИИС еще руб.:</t>
  </si>
  <si>
    <t xml:space="preserve">3. Купили 06.04.2020 первый раз на 400 т.р.ОФЗ 26215 сроком на три года  </t>
  </si>
  <si>
    <t>2. 30.03.2020 еще 400 т руб. положили на один год под ставку:</t>
  </si>
  <si>
    <t>1. Открыли счет ИИС 30.03.2020 и внесли туда  руб.:</t>
  </si>
  <si>
    <t>Модель расчета стратегии "ИИС с покупкой на него ОФЗ" для возможного преподавания учащимся</t>
  </si>
  <si>
    <t>Покупка в (T+1) (сделка 03.04.20, расчеты 06.04.20) 389 облигации по "чистой" цене 104,75% от номинала (1015,75 р.*389) и заплатит НКД (9,2 р.*389)</t>
  </si>
  <si>
    <r>
      <rPr>
        <b/>
        <sz val="11"/>
        <color rgb="FFFF0000"/>
        <rFont val="Times New Roman"/>
        <family val="1"/>
        <charset val="204"/>
      </rPr>
      <t>Задача 17-3</t>
    </r>
    <r>
      <rPr>
        <b/>
        <sz val="11"/>
        <color theme="1"/>
        <rFont val="Times New Roman"/>
        <family val="1"/>
        <charset val="204"/>
      </rPr>
      <t xml:space="preserve"> Расчет налогов по депозитам с 2021 года. </t>
    </r>
    <r>
      <rPr>
        <b/>
        <sz val="11"/>
        <color rgb="FFFF0000"/>
        <rFont val="Times New Roman"/>
        <family val="1"/>
        <charset val="204"/>
      </rPr>
      <t>Слайд 73</t>
    </r>
  </si>
  <si>
    <r>
      <t>Допустим, на 01 января 2021 г. ключевая ставка Банка России,</t>
    </r>
    <r>
      <rPr>
        <b/>
        <sz val="12"/>
        <color rgb="FF7030A0"/>
        <rFont val="Times New Roman"/>
        <family val="1"/>
        <charset val="204"/>
      </rPr>
      <t xml:space="preserve"> R </t>
    </r>
  </si>
  <si>
    <t>Расчитать налог на вклад (размещенный на один год) за 2021 г.,</t>
  </si>
  <si>
    <t xml:space="preserve">который будет удержан Банком </t>
  </si>
  <si>
    <r>
      <t>Сумма,</t>
    </r>
    <r>
      <rPr>
        <b/>
        <sz val="12"/>
        <color rgb="FF7030A0"/>
        <rFont val="Times New Roman"/>
        <family val="1"/>
        <charset val="204"/>
      </rPr>
      <t xml:space="preserve"> P</t>
    </r>
    <r>
      <rPr>
        <sz val="12"/>
        <color theme="1"/>
        <rFont val="Times New Roman"/>
        <family val="1"/>
        <charset val="204"/>
      </rPr>
      <t xml:space="preserve"> </t>
    </r>
  </si>
  <si>
    <t>млн. руб.</t>
  </si>
  <si>
    <r>
      <t xml:space="preserve">Ставка депозита, </t>
    </r>
    <r>
      <rPr>
        <b/>
        <sz val="12"/>
        <color rgb="FF7030A0"/>
        <rFont val="Times New Roman"/>
        <family val="1"/>
        <charset val="204"/>
      </rPr>
      <t xml:space="preserve">r </t>
    </r>
  </si>
  <si>
    <t>Какой будет налог (НДФЛ) на проценты по депозиту в этом случае?</t>
  </si>
  <si>
    <t>1. Посчитаем сумму процентов, необлагаемую налогом</t>
  </si>
  <si>
    <t>1 млн. руб. * 0,421 =</t>
  </si>
  <si>
    <t xml:space="preserve">2. Посчитаем сумму процентов за год </t>
  </si>
  <si>
    <t>5 млн. руб. * 6%</t>
  </si>
  <si>
    <t>руб</t>
  </si>
  <si>
    <t>3. Расичтаем сумму с которой будет удержан налог</t>
  </si>
  <si>
    <t>%% по вкладу - необлагаемая сумма ( 300 тр минус 42,1 тр)</t>
  </si>
  <si>
    <t xml:space="preserve">4. Расчитаем налог, который будет удержан Банком </t>
  </si>
  <si>
    <t>257900,00 * 0,13</t>
  </si>
  <si>
    <t>ИТОГО. Банк начислит проценты в размере 300 тр - налог</t>
  </si>
  <si>
    <t>При расчете НДФЛ не будет учитываться доход по рублевым счетам, процентная ставка по которым в течение всего года не превышает 1% годовых, а также процентные доходы по счетам эскроу. Налоговый орган самостоятельно рассчитает сумму налога по окончании года на основе сведений от банков и направит физическому лицу уведомление на уплату НДФЛ. Впервые уплатить этот налог за 2021 год вкладчикам придется только в 2022 году (до 1 декабря 2022 года).
Декларировать такие доходы или каким-либо образом их оформлять гражданам не потребуется.</t>
  </si>
  <si>
    <r>
      <rPr>
        <b/>
        <sz val="11"/>
        <color rgb="FFFF0000"/>
        <rFont val="Times New Roman"/>
        <family val="1"/>
        <charset val="204"/>
      </rPr>
      <t>Задача 45.</t>
    </r>
    <r>
      <rPr>
        <b/>
        <sz val="11"/>
        <color theme="1"/>
        <rFont val="Times New Roman"/>
        <family val="1"/>
        <charset val="204"/>
      </rPr>
      <t xml:space="preserve"> Налоги по облигациям с 21 года</t>
    </r>
  </si>
  <si>
    <t>Определите налог по ОФЗ, который удерживается брокером с 21 года. ОФЗ, номинал 1000 руб. Срок обращения с 01.01.21 г. по 01.01.24 г. Купон, выплачивается два раза в год, ставка купона 6% от номинала. Определите сколько суммарно налога удержит брокер-налоговый агент?</t>
  </si>
  <si>
    <t>1. Определим сколько купонного дохода (КД) получает инвестор в год: N*r, или 1000*7%</t>
  </si>
  <si>
    <t>2. Суммарно за три года инвестор получит купонного дохода: 3*КД</t>
  </si>
  <si>
    <t xml:space="preserve">3. Брокер, с каждой выплаты КД будет удерживать налог, всего он удержит: </t>
  </si>
  <si>
    <t>3*КД*0,13</t>
  </si>
  <si>
    <r>
      <t xml:space="preserve">Весь купонный доход по облигациям и дисконт, фактически полученный с 1 января 2021 года, будет облагаться НДФЛ. Причем независимо от того, что сами ценные бумаги могли быть приобретены ранее 2021 года. Главное, что факт выплаты дохода зафиксирован в 2021 году. Ставки налога установлены как для общих случаев: для налоговых резидентов РФ — 13%, для налоговых нерезидентов РФ — 30%. Брокер как налоговый агент обязан удерживать НДФЛ с данных выплат.Обратите внимание, законодатели не предусмотрели никакого послабления для суммы менее одного миллиона рублей. Для дохода по облигациям просто отменили данные льготы, сделав его полностью налогооблагаемым. 
</t>
    </r>
    <r>
      <rPr>
        <sz val="10"/>
        <color rgb="FF00B0F0"/>
        <rFont val="Roboto Regular"/>
        <charset val="204"/>
      </rPr>
      <t>https://journal.open-broker.ru/taxes/nalog-na-kuponnyj-dokhod-po-obligacziyam-2020/</t>
    </r>
  </si>
  <si>
    <r>
      <rPr>
        <b/>
        <sz val="12"/>
        <color rgb="FFFF0000"/>
        <rFont val="Times New Roman"/>
        <family val="1"/>
        <charset val="204"/>
      </rPr>
      <t xml:space="preserve">Задача 16. </t>
    </r>
    <r>
      <rPr>
        <b/>
        <sz val="12"/>
        <color theme="1"/>
        <rFont val="Times New Roman"/>
        <family val="1"/>
        <charset val="204"/>
      </rPr>
      <t xml:space="preserve">Расчет параметров депозита. </t>
    </r>
    <r>
      <rPr>
        <sz val="12"/>
        <color theme="1"/>
        <rFont val="Times New Roman"/>
        <family val="1"/>
        <charset val="204"/>
      </rPr>
      <t>Фирма заключила договор срочного депозита на срок с 10 января по 10 июля 2018 г. (181 день). Проценты простые. Ставка 16% (r). Сумма (P) — 10 млн руб. База (К) 365 дней. 
Определить ∂, Кн (коэффициент наращения) и  S итоговую сумму (начальная сумма вложения плюс доход)?</t>
    </r>
  </si>
  <si>
    <r>
      <rPr>
        <b/>
        <sz val="12"/>
        <color rgb="FFFF0000"/>
        <rFont val="Times New Roman"/>
        <family val="1"/>
        <charset val="204"/>
      </rPr>
      <t xml:space="preserve">Задача 17. </t>
    </r>
    <r>
      <rPr>
        <b/>
        <sz val="12"/>
        <rFont val="Times New Roman"/>
        <family val="1"/>
        <charset val="204"/>
      </rPr>
      <t>Расчет параметров депозита.</t>
    </r>
    <r>
      <rPr>
        <sz val="12"/>
        <rFont val="Times New Roman"/>
        <family val="1"/>
        <charset val="204"/>
      </rPr>
      <t xml:space="preserve"> </t>
    </r>
    <r>
      <rPr>
        <sz val="12"/>
        <color theme="1"/>
        <rFont val="Times New Roman"/>
        <family val="1"/>
        <charset val="204"/>
      </rPr>
      <t>Фирма заключила договор срочного депозита на срок с 10 января по 15 июля 2018 г. (186 день). Проценты сложные. Ежемесячное начисление процентов или период начисления месяц. Ставка 16% (r). Сумма (P) — 10 млн руб. 
Определить n, a, Кн (коэффициент наращения) и  S итоговую сумму (начальная сумма вложения плюс доход)?</t>
    </r>
  </si>
  <si>
    <t>Клиент внес (P) 50 000 руб. Срок вклада 12 месяцев (один год). Процентная ставка (r) 9%. Разные банки предлагают депозит с такими условиями, но есть нюансы: Первый банк предлагает простые проценты, База(K) — 360 дней, которые начисляются в конце года. Второй банк предлагает простые проценты, База(K) — 365 дней, которые начисляются в конце года. Третий банк предлагает сложные проценты с начислением в конце года один раз. Четвертый банк предлагает сложные проценты с начислением два раза в год. Пятый банк предлагает сложные проценты с начислением четыре раза в год. Шестой банк предлагает сложные проценты с начислением каждый месяц. Банки которые предлагают сложные проценты используют Базу (K) — 360 дней. С каким банком заключить договор срочного депозитного вклада?</t>
  </si>
  <si>
    <r>
      <t>Молодой фермер для своего КФК планирует взять в кредит трактор. 
Из всей линейки выбрал (производитель ОАО «САЗ»)</t>
    </r>
    <r>
      <rPr>
        <sz val="12"/>
        <color rgb="FF646464"/>
        <rFont val="Times New Roman"/>
        <family val="1"/>
        <charset val="204"/>
      </rPr>
      <t xml:space="preserve"> </t>
    </r>
    <r>
      <rPr>
        <sz val="12"/>
        <color theme="1"/>
        <rFont val="Times New Roman"/>
        <family val="1"/>
        <charset val="204"/>
      </rPr>
      <t>трактор Беларус 132Н. Стоимость такого трактора — 279 500,00 руб. Дилер 1 предложил беспроцентную рассрочку на год, так что ежемесячный платеж первые одиннадцать месяцев 23 291,66 руб.  и в последний месяц 23 291,74 руб. Дилер 2 предложил эту модель за 260 000, руб. но в кредит под 12% годовых на один год. Проценты по кредиту выплачиваются в конце срока. Предполагается, что фермер не использует программу льготного кредитования Минсельхоза России. Какое предложение более выгодное для молодого фермера?</t>
    </r>
  </si>
  <si>
    <r>
      <rPr>
        <b/>
        <sz val="12"/>
        <color rgb="FFFF0000"/>
        <rFont val="Times New Roman"/>
        <family val="1"/>
        <charset val="204"/>
      </rPr>
      <t>Задача 23.</t>
    </r>
    <r>
      <rPr>
        <b/>
        <sz val="12"/>
        <color theme="1"/>
        <rFont val="Times New Roman"/>
        <family val="1"/>
        <charset val="204"/>
      </rPr>
      <t xml:space="preserve"> Разобрана задача под номером 6 МР.</t>
    </r>
    <r>
      <rPr>
        <sz val="12"/>
        <color theme="1"/>
        <rFont val="Times New Roman"/>
        <family val="1"/>
        <charset val="204"/>
      </rPr>
      <t xml:space="preserve"> Сколько нужно примерно откладывать в месяц, если копить с помощью депозита под 9% годовых на машину стоимостью 340 000 рублей в течении 3 лет. Индекс потребительских цен — 104,8%</t>
    </r>
  </si>
  <si>
    <r>
      <rPr>
        <b/>
        <sz val="12"/>
        <color rgb="FFFF0000"/>
        <rFont val="Times New Roman"/>
        <family val="1"/>
        <charset val="204"/>
      </rPr>
      <t>Задача 26.</t>
    </r>
    <r>
      <rPr>
        <b/>
        <sz val="12"/>
        <color rgb="FF000000"/>
        <rFont val="Times New Roman"/>
        <family val="1"/>
        <charset val="204"/>
      </rPr>
      <t xml:space="preserve"> Разобрано Задание 6 МР.</t>
    </r>
    <r>
      <rPr>
        <sz val="12"/>
        <color rgb="FF000000"/>
        <rFont val="Times New Roman"/>
        <family val="1"/>
        <charset val="204"/>
      </rPr>
      <t xml:space="preserve"> Елена хочет приобрести новую стиральную машину. Стиральная машина А стоит 20 000 руб., а стиральная машина В стоит 15 000 руб. Стиральная машина А потребляет 300 кВт.ч в год, а стиральная машина В — 450 кВт.ч в год. Электроэнергия стоит 5 руб. за 1 кВт.ч. Допустим, что платеж за электричество единоразовый в конце года. С точки зрения надежности и удобства стиральные машины не отличаются; срок службы у них одинаковый — 10 лет. Елена дисконтирует будущее, ее фактор дисконтирования , где r — процентная ставка. Какую стиральную машину следует выбрать, если процентная ставка r равна 5%?</t>
    </r>
  </si>
  <si>
    <r>
      <rPr>
        <b/>
        <sz val="12"/>
        <color rgb="FFFF0000"/>
        <rFont val="Times New Roman"/>
        <family val="1"/>
        <charset val="204"/>
      </rPr>
      <t xml:space="preserve">Задача 29. </t>
    </r>
    <r>
      <rPr>
        <b/>
        <sz val="12"/>
        <rFont val="Times New Roman"/>
        <family val="1"/>
        <charset val="204"/>
      </rPr>
      <t xml:space="preserve">Разобрано </t>
    </r>
    <r>
      <rPr>
        <b/>
        <sz val="12"/>
        <color theme="1"/>
        <rFont val="Times New Roman"/>
        <family val="1"/>
        <charset val="204"/>
      </rPr>
      <t>Задание 17 МР.</t>
    </r>
    <r>
      <rPr>
        <sz val="12"/>
        <color theme="1"/>
        <rFont val="Times New Roman"/>
        <family val="1"/>
        <charset val="204"/>
      </rPr>
      <t xml:space="preserve"> По условиям  депозитного договора: сумма вклада — от 100 000 до 500 000 руб.; срок вклада — 6 месяцев; периодичность начисления и выплаты процентов — ежемесячно; процентная ставка — 10% годовых. Проценты простые. Вкладчик решил на указанных условиях разместить на депозите 300 тыс. руб. в период с января по июнь в не високосный год (365 дней). Необходимо рассчитать сумму процентов ежемесячно и за полный срок депозитного договора. </t>
    </r>
  </si>
  <si>
    <r>
      <t xml:space="preserve">Для расчета накопленной инфляции за период по данным каждого года необходимо просто перемножить показатели инфляции каждого года:
</t>
    </r>
    <r>
      <rPr>
        <b/>
        <sz val="11"/>
        <color rgb="FF7030A0"/>
        <rFont val="Times New Roman"/>
        <family val="1"/>
        <charset val="204"/>
      </rPr>
      <t>(1+инфл14)*(1+инфл15)*(1+инфл16)*(1+инфл17)-1 и выразить это в процентах</t>
    </r>
    <r>
      <rPr>
        <sz val="11"/>
        <rFont val="Times New Roman"/>
        <family val="1"/>
        <charset val="204"/>
      </rPr>
      <t xml:space="preserve">. 
Логично, что при такой постановке задачи инфляцию можно выразить как среднегодовую. Формула расчета среднегодовой инфляции (не забываем инфляцию подставлять в сотых долях (11% — это 0,11)):
(1+сргод.инфл)^4 = (1+инфл14)*(1+инфл15)*(1+инфл16)*(1+инфл17) или
</t>
    </r>
    <r>
      <rPr>
        <b/>
        <sz val="11"/>
        <color rgb="FF7030A0"/>
        <rFont val="Times New Roman"/>
        <family val="1"/>
        <charset val="204"/>
      </rPr>
      <t>среднегодовая инфляция = ((1+инфл14)*(1+инфл15)*(1+инфл16)*(1+инфл17))^(1/4)-1</t>
    </r>
  </si>
  <si>
    <r>
      <rPr>
        <b/>
        <sz val="12"/>
        <color rgb="FFFF0000"/>
        <rFont val="Times New Roman"/>
        <family val="1"/>
        <charset val="204"/>
      </rPr>
      <t>Задача 8.</t>
    </r>
    <r>
      <rPr>
        <b/>
        <sz val="12"/>
        <color theme="1"/>
        <rFont val="Times New Roman"/>
        <family val="1"/>
        <charset val="204"/>
      </rPr>
      <t xml:space="preserve"> Разобрана Задача 1 из МР</t>
    </r>
    <r>
      <rPr>
        <sz val="12"/>
        <color theme="1"/>
        <rFont val="Times New Roman"/>
        <family val="1"/>
        <charset val="204"/>
      </rPr>
      <t xml:space="preserve">. Иван Петров закончил школу. Ему 18 лет. У него есть несколько возможностей:
Пойти работать. Зарплата работника со средним общим образованием в стране — 15 000 руб.;
Поступить в техникум. Длительность обучения в техникуме 3 года, оплата 25 000 в год. Зарплата специалиста со средним профессиональным образованием в стране — 20 000 руб.;
Поступить в институт. Длительность обучения в институте 5 лет, зарплата специалиста с высшим профессиональным образованием в стране — 30 000 руб.
</t>
    </r>
    <r>
      <rPr>
        <b/>
        <sz val="12"/>
        <rFont val="Times New Roman"/>
        <family val="1"/>
        <charset val="204"/>
      </rPr>
      <t>ОЧЕНЬ УПРОЩЕННО!</t>
    </r>
    <r>
      <rPr>
        <sz val="12"/>
        <color theme="1"/>
        <rFont val="Times New Roman"/>
        <family val="1"/>
        <charset val="204"/>
      </rPr>
      <t xml:space="preserve"> Для простоты предположим, что работать Иван будет ровно до достижения им пенсионного возраста, то есть до 65 лет, и зарплата работников не меняется в течение жизни. Посоветуйте, как правильно поступить Ивану, если цель Ивана максимизировать свой доход?</t>
    </r>
  </si>
  <si>
    <r>
      <rPr>
        <b/>
        <sz val="11"/>
        <color rgb="FFFF0000"/>
        <rFont val="Times New Roman"/>
        <family val="1"/>
        <charset val="204"/>
      </rPr>
      <t xml:space="preserve">Задача 10. </t>
    </r>
    <r>
      <rPr>
        <b/>
        <sz val="11"/>
        <color theme="1"/>
        <rFont val="Times New Roman"/>
        <family val="1"/>
        <charset val="204"/>
      </rPr>
      <t xml:space="preserve">Разобрана Задача 4 МР. </t>
    </r>
    <r>
      <rPr>
        <sz val="11"/>
        <color theme="1"/>
        <rFont val="Times New Roman"/>
        <family val="1"/>
        <charset val="204"/>
      </rPr>
      <t xml:space="preserve"> Представьте, что вы — финансовый консультант, и к вам за помощью по составлению личного финансового плана обратился гражданин Астахов. Он женат и имеет одного ребенка. Жена занимается домашним хозяйством и не получает доходов. Ежемесячный доход Астахова составляет 70 тыс. руб. Семья располагает средствами для покрытия непредвиденных расходов в размере 50 тыс. руб.
В течение двух месяцев глава семьи фиксировал все поступившие доходы и совершенные расходы, в результате чего пришел к выводу, что ежемесячный фонд текущих расходов семьи не должен превышать 35 тыс. руб.
Гражданин Астахов считает, что размер средств, накопленных на случай непредвиденных расходов, недостаточен. При этом зарплату гражданин Асхатов получает в конце месяца.  
Кроме того, семья давно мечтает совершить путешествие по странам Западной Европы, стоимость которого составляет 200 тыс. руб.
Дайте гражданину Астахову совет относительно размеров резервного фонда. Какие инвестиционные активы ему следует использовать при формировании резервного, накопительного и инвестиционного фондов?
</t>
    </r>
  </si>
  <si>
    <r>
      <rPr>
        <b/>
        <sz val="12"/>
        <color rgb="FFFF0000"/>
        <rFont val="Times New Roman"/>
        <family val="1"/>
        <charset val="204"/>
      </rPr>
      <t xml:space="preserve">Задача 12. </t>
    </r>
    <r>
      <rPr>
        <b/>
        <sz val="12"/>
        <color theme="1"/>
        <rFont val="Times New Roman"/>
        <family val="1"/>
        <charset val="204"/>
      </rPr>
      <t xml:space="preserve">Разобрана Задача 10 МР. </t>
    </r>
    <r>
      <rPr>
        <sz val="12"/>
        <color theme="1"/>
        <rFont val="Times New Roman"/>
        <family val="1"/>
        <charset val="204"/>
      </rPr>
      <t xml:space="preserve">Петр. 34 года. Работает IT-специалистом в крупной компании. Зарплата 150 000 руб. Женат. Жена работает менеджером и известной телекоммуникационной компании. Зарплата 50 000 руб. Ребенку Васе — 5 лет. Ежемесячные расходы около 100 000 руб. Планируют накопить 2 000 000 руб. на высшее образование ребенка. Каковы параметры программы накопительного страхования (срок, страховая сумма и т.д.), подходящей семье для реализации её целей?  </t>
    </r>
  </si>
  <si>
    <t>Определите доходность купонной облигации номиналом (N) 1 000 рублей. Срок облигации — три года. Выплата купона раз в квартал.  Величина ставки купона (r к) 3 % в квартал</t>
  </si>
  <si>
    <t xml:space="preserve">16. В течение всего периода - выплачиваются Вам купоны (7% годовых, раз в полгода), а 16.08.2023 погашение номинала ОФЗ-ПД 26215 (1000 р. — одна облигация) </t>
  </si>
  <si>
    <t>Покупка в T+1 (сделка 06.04.21, расчеты 07.04.21) 380 облигаций по "чистой" цене 104% от номинала (1040,00 р.*380) и и доплата продавцу ОФЗ НКД (9,40 р.*380)</t>
  </si>
  <si>
    <t>Покупка в T+1 (сделка 06.04.22, расчеты 07.04.22) 373 облигации по "чистой" цене 106% от номинала (1060,00 р.*373) и доплата продавцу ОФЗ НКД (9,59 р.*373)</t>
  </si>
  <si>
    <t>вставляем в "значение" — цифру " 0 "</t>
  </si>
  <si>
    <t>Упражнения из Методических рекомендаций (далее МР). Раздел — "Задания". Тема 1.3, страхование</t>
  </si>
  <si>
    <r>
      <t xml:space="preserve">25.09.17 инвестор через брокера купил на 100 тыс.руб. (P) на бирже акции Сбербанка (об.) по (Ц1) 188,40 руб. за одну акцию. Год акции хранились на счете депо в депозитарии. 25.09.18 г. инвестор продал через брокера акции Сбербанка (об.) на бирже по цене (Ц2) 196,50 руб. В июле 2018 года ПАО Сбербанк выплатило дивидендов (Цд) 12 руб. на акцию.  Сколько в руб. заработал/потерял инвестор от такой инвестиции с учетом дивидендов, с учетом комиссий проф. участников РЦБ (S общая)? Комиссия брокера — 0,041% от суммы сделки, биржи — 0,01% от суммы сделки, комиссия депозитария 150 руб. за месяц, когда происходит движение по счету. </t>
    </r>
    <r>
      <rPr>
        <b/>
        <sz val="11"/>
        <rFont val="Times New Roman"/>
        <family val="1"/>
        <charset val="204"/>
      </rPr>
      <t>Налог по дивидендам 13%. По доходу от изменения курсовой стоимости 13%, если менее трех (пяти) лет в собственности!</t>
    </r>
    <r>
      <rPr>
        <sz val="11"/>
        <rFont val="Times New Roman"/>
        <family val="1"/>
        <charset val="204"/>
      </rPr>
      <t xml:space="preserve">
Какая доходность такой операции? Какова дивидендная доходность акций Сбербанка (ДД)?
Налоговых льгот нет, так как инвестор держал ценную бумагу всего один год. Информация о цене акции взята: </t>
    </r>
    <r>
      <rPr>
        <sz val="11"/>
        <color rgb="FF0070C0"/>
        <rFont val="Times New Roman"/>
        <family val="1"/>
        <charset val="204"/>
      </rPr>
      <t>https://smart-lab.ru/forum/SBER/page584/</t>
    </r>
  </si>
  <si>
    <t>2. Возраст дожитиия — 15 лет (до 80 лет) или 180 месяцев</t>
  </si>
  <si>
    <t xml:space="preserve">Пенсионная схема — «схема с установленными взносами»  (у фонда нет обязательства НПФ показывать строго определенный уровень доходности) </t>
  </si>
  <si>
    <t>Упражнения из Методических рекомендаций (далее МР). Раздел — "Задания". Тема 1.5</t>
  </si>
  <si>
    <r>
      <t>Ключевая ставка (ставка рефинансирования) равна 7,5%. Банк предлагает ставку по депозиту на один год 20%. Сколько банк удержит налога и какая будет процентная ставка в действительности с учетом налога? Инфляция 6 % составила в год, когда действовал депозитные договор. Какова реальная процентная ставка по договору с учетом инфляции и налога? (точная оценка влияния инфляции на доходность любого финансового актива считается по формуле Фишера. Настоящий пример показывает упрощенный расчет влияния инфляции на доходность(инфляция просто вычитается)). Пример влияния инфляции по формуле Фишера приведен во вкладке "ФР" или</t>
    </r>
    <r>
      <rPr>
        <b/>
        <sz val="12"/>
        <color rgb="FFFF0000"/>
        <rFont val="Times New Roman"/>
        <family val="1"/>
        <charset val="204"/>
      </rPr>
      <t xml:space="preserve"> см. слайд Презентации 189</t>
    </r>
  </si>
  <si>
    <t>Заемщику необходим автокредит в 100 000,00 руб. на один год. Он планирует взять кредит с 10.02.2020 г. Начало выплат по кредиту — конец марта 2020 г. После изучения различных предложений на сайте-агрегаторе заемщик выбрал для себя предложения двух банков. 
Первый банк предлагает 14% и КАСКО (разовая выплата) — 7% от суммы кредита. Второй предложил 13,8% годовых и КАСКО — 7,8% от суммы крежита (разовая выплата). Оба банка предлагают аннуитетню схему погашения с ежемесячными выплатами в конце месяца. Необходимо выбрать лучшее предложение.</t>
  </si>
  <si>
    <t xml:space="preserve">Номинал (N) облигации 1000 руб., годовой купон (r к)16% годовых, выплата производится ежеквартально. Курс на бирже 100% от наминала. Инвестор продает облигацию когда после последней выплаты по купону прошло 54 дня. В этот день курс на бирже этой облигации (чистая цена) 100% или 1000 руб.  Для расчёта НКД берётся 90 дней в квартале. По какой цене будет продана облигация? </t>
  </si>
  <si>
    <t xml:space="preserve">Упражнения из Методических рекомендаций (далее МР). Раздел — "Задания". Тема 1.1 </t>
  </si>
  <si>
    <t xml:space="preserve">Упражнения из Методических рекомендаций (далее МР). Раздел — "Расчетные задачи". Тема 1.1 </t>
  </si>
  <si>
    <t>Упражнения из Методических рекомендаций (далее МР). Раздел — "Задачи". Тема 1.2</t>
  </si>
  <si>
    <t>Упражнения из Методических рекомендаций (далее МР). Раздел — "Задания". Тема 1.2</t>
  </si>
  <si>
    <t>Упражнение из Методических рекомендаций (далее МР). Раздел — "Кейсы". Тема 1.2</t>
  </si>
  <si>
    <r>
      <t xml:space="preserve">Номинал (N) облигации — выбираете! Введите ставку купона, количество купонных периодов в году, и количество оставшихся купонных периодов с учетом неполного периода в виде сотой части числа (например, облигация всего будет обращаться 2,5 года, купон выплачивается эмитентом 4-ре раза в год, то есть всего 10 периодов и допустим прошло 45 дней с даты начала обращения, тогда количество оставшихся периодов будет равно 9,5), введите цену облигации  в руб. 
</t>
    </r>
    <r>
      <rPr>
        <b/>
        <sz val="11"/>
        <rFont val="Times New Roman"/>
        <family val="1"/>
        <charset val="204"/>
      </rPr>
      <t>Будет рассчитана доходность одного периода и ДКП</t>
    </r>
  </si>
  <si>
    <r>
      <t xml:space="preserve">Номинал (N) облигации — выбираете! Введите ставку купона, количество купонных периодов в году, и количество оставшихся купонных периодов с учетом неполного периода в виде сотой части числа (например, облигация 10-летняя купон выплачивается эмитентом два раза в год, то есть всего 20 периодов и допустим прошло 2 года и 9 месяцев с даты начала обращения, тогда количество оставшихся периодов будет равно 14,5), введите доходность к погашению и доходность одного периода. </t>
    </r>
    <r>
      <rPr>
        <b/>
        <sz val="11"/>
        <rFont val="Times New Roman"/>
        <family val="1"/>
        <charset val="204"/>
      </rPr>
      <t>Будет рассчитана цена одной облигации</t>
    </r>
  </si>
  <si>
    <r>
      <t xml:space="preserve">25.09.17 инвестор через брокера купил на 100 тыс.руб. (P) на бирже акции Сбербанка (об.) по (Ц1) 188,40 руб. за одну акцию. Год акции хранились на счете депо в депозитарии. 25.09.18 г. инвестор продал через брокера акции Сбербанка (об.) на бирже по цене (Ц2) 196,50 руб. В июле 2018 года ПАО Сбербанк выплатило дивидендов (Цд) 12 руб. на акцию.  Сколько в руб. заработал/потерял инвестор от такой инвестиции с учетом дивидендов, с учетом комиссий проф. участников РЦБ (S общая)? Комиссия брокера — 0,041% от суммы сделки, биржи — 0,01% от суммы сделки, комиссия депозитария 150 руб. за месяц, когда происходит движение по счету. </t>
    </r>
    <r>
      <rPr>
        <b/>
        <sz val="11"/>
        <rFont val="Times New Roman"/>
        <family val="1"/>
        <charset val="204"/>
      </rPr>
      <t>Налог по дивидендам 13%. По доходу от изменения курсовой стоимости 13%, если менее трех лет в собственности!</t>
    </r>
    <r>
      <rPr>
        <sz val="11"/>
        <rFont val="Times New Roman"/>
        <family val="1"/>
        <charset val="204"/>
      </rPr>
      <t xml:space="preserve">
Какая доходность такой операции? Какова дивидендная доходность акций Сбербанка (ДД)?
Налоговых льгот нет, так как инвестор держал ценную бумагу всего один год. Информация о цене акции взята: </t>
    </r>
    <r>
      <rPr>
        <sz val="11"/>
        <color rgb="FF0070C0"/>
        <rFont val="Times New Roman"/>
        <family val="1"/>
        <charset val="204"/>
      </rPr>
      <t>https://smart-lab.ru/forum/SBER/page584/</t>
    </r>
  </si>
  <si>
    <t>Инвестор X имеет $200 сбережений и решает вложить эти средства на 1 год в один из активов: акцию или бескупонную облигацию, рыночная цена которых одинаковая и равна (P) $100. Облигация сроком погашения 1 год имеет номинальную стоимость (N) $104. Дивидендные выплаты по акции составляют (Sд) $5. О будущем значении акции известно, что оно задано следующим вероятностным распределением: через год рыночная стоимость акции (Sk акции) примет значение $81 с вероятностью 1/3, $105 — с вероятностью 2/5, $120 — в прочих случаях. Банк предлагает внести депозит под 5% годовых. Определите ожидаемую доходность акции. Определите в результате сравнения доходностей активов, в какой актив выгоднее инвестировать: купить акцию или облигацию, или вложить деньги в банк? Предположим, инвестор решает диверсифицировать свой портфель и приобретает и акцию, и облигацию одинаковую сумму средств. Какова в этом случае будет доходность портфеля?</t>
  </si>
  <si>
    <t>Инвестор купил облигацию ОФЗ номиналом (N)1 000 руб. Ставка купона — (r к) 15%  годовых. Срок — 5 лет. Выплаты — один раз в год. Какой доход вы получите за 5 лет?</t>
  </si>
  <si>
    <r>
      <t xml:space="preserve">Пайщик инвестировал денежные средства в сумме (P) 61 000  руб. в «портфель», купив паи: ПИФа акций на сумму (Pa) 40 000 руб., цена 1 пая — 4000 руб., ПИФа облигаций на сумму (Pо) 21 000 руб., цена 1 пая — 700 руб. Через 1 год стоимость 1 пая фондов составила: ПИФ акций — 3500 руб., ПИФ облигаций — 800 руб. Как изменилась стоимость портфеля инвестора через 1 год? Обратите внимание здесь приведен категории ПИФов, которые приняты в народе, сейчас категории фондов другие. </t>
    </r>
    <r>
      <rPr>
        <b/>
        <sz val="11"/>
        <color rgb="FFFF0000"/>
        <rFont val="Times New Roman"/>
        <family val="1"/>
        <charset val="204"/>
      </rPr>
      <t>см. Слайд 163 Презентации</t>
    </r>
  </si>
  <si>
    <r>
      <t>1. Вспоминаем формулу (</t>
    </r>
    <r>
      <rPr>
        <b/>
        <sz val="12"/>
        <color rgb="FFFF0000"/>
        <rFont val="Times New Roman"/>
        <family val="1"/>
        <charset val="204"/>
      </rPr>
      <t>Слайд 80 Презентации, ДМ</t>
    </r>
    <r>
      <rPr>
        <sz val="12"/>
        <color theme="1"/>
        <rFont val="Times New Roman"/>
        <family val="1"/>
        <charset val="204"/>
      </rPr>
      <t>)</t>
    </r>
  </si>
  <si>
    <r>
      <t xml:space="preserve">Накопленный итог по акции Газпрома за шесть лет просто перемножаем показатели доходностей
</t>
    </r>
    <r>
      <rPr>
        <b/>
        <sz val="11"/>
        <color rgb="FF7030A0"/>
        <rFont val="Times New Roman"/>
        <family val="1"/>
        <charset val="204"/>
      </rPr>
      <t xml:space="preserve">(1-0,036)*(1+0,0149)*(1+0,1324)*(1+0,00)*(1+0,1299)-1 </t>
    </r>
    <r>
      <rPr>
        <b/>
        <sz val="11"/>
        <rFont val="Times New Roman"/>
        <family val="1"/>
        <charset val="204"/>
      </rPr>
      <t xml:space="preserve">
</t>
    </r>
    <r>
      <rPr>
        <sz val="11"/>
        <rFont val="Times New Roman"/>
        <family val="1"/>
        <charset val="204"/>
      </rPr>
      <t>Накопленный итог по инфляции за шесть лет просто перемножаем показатели инфляции</t>
    </r>
    <r>
      <rPr>
        <b/>
        <sz val="11"/>
        <rFont val="Times New Roman"/>
        <family val="1"/>
        <charset val="204"/>
      </rPr>
      <t xml:space="preserve">
</t>
    </r>
    <r>
      <rPr>
        <b/>
        <sz val="11"/>
        <color rgb="FF7030A0"/>
        <rFont val="Times New Roman"/>
        <family val="1"/>
        <charset val="204"/>
      </rPr>
      <t xml:space="preserve">(1+0,1136)*(1+0,1291)*(1+0,0538)*(1+0,0252)*(1+0,0253)-1 </t>
    </r>
    <r>
      <rPr>
        <sz val="11"/>
        <rFont val="Times New Roman"/>
        <family val="1"/>
        <charset val="204"/>
      </rPr>
      <t xml:space="preserve">
</t>
    </r>
  </si>
  <si>
    <r>
      <rPr>
        <b/>
        <sz val="9"/>
        <color rgb="FFFF0000"/>
        <rFont val="Times New Roman"/>
        <family val="1"/>
        <charset val="204"/>
      </rPr>
      <t xml:space="preserve">Задача 41. </t>
    </r>
    <r>
      <rPr>
        <b/>
        <sz val="9"/>
        <color theme="1"/>
        <rFont val="Times New Roman"/>
        <family val="1"/>
        <charset val="204"/>
      </rPr>
      <t>Выбор вложения в акцию или бескупонную облигацию (Задача 2 в разделе "Задачи (Параграфы 1.3.1–1.3.5 Раздела 1.3)")</t>
    </r>
  </si>
  <si>
    <r>
      <rPr>
        <b/>
        <sz val="9"/>
        <color rgb="FFFF0000"/>
        <rFont val="Times New Roman"/>
        <family val="1"/>
        <charset val="204"/>
      </rPr>
      <t>Задача 40.</t>
    </r>
    <r>
      <rPr>
        <b/>
        <sz val="9"/>
        <color theme="1"/>
        <rFont val="Times New Roman"/>
        <family val="1"/>
        <charset val="204"/>
      </rPr>
      <t xml:space="preserve"> Расчет доходности акции с дивидендом  (Задача 1 в разделе "Задачи (Параграфы 1.3.1–1.3.5 Раздела 1.3)")</t>
    </r>
  </si>
  <si>
    <r>
      <rPr>
        <b/>
        <sz val="9"/>
        <color rgb="FFFF0000"/>
        <rFont val="Times New Roman"/>
        <family val="1"/>
        <charset val="204"/>
      </rPr>
      <t xml:space="preserve">Задача 42. </t>
    </r>
    <r>
      <rPr>
        <b/>
        <sz val="9"/>
        <color theme="1"/>
        <rFont val="Times New Roman"/>
        <family val="1"/>
        <charset val="204"/>
      </rPr>
      <t>Доходность облигации ОФЗ и налог на купоны по ОФЗ (Задача 3 в разделе "Задачи (Параграфы 1.3.1–1.3.5 Раздела 1.3)")</t>
    </r>
  </si>
  <si>
    <r>
      <rPr>
        <b/>
        <sz val="11"/>
        <color rgb="FFFF0000"/>
        <rFont val="Times New Roman"/>
        <family val="1"/>
        <charset val="204"/>
      </rPr>
      <t>Задача 43.</t>
    </r>
    <r>
      <rPr>
        <b/>
        <sz val="11"/>
        <color theme="1"/>
        <rFont val="Times New Roman"/>
        <family val="1"/>
        <charset val="204"/>
      </rPr>
      <t xml:space="preserve"> Определение доходности одного инструмента по доходности другого </t>
    </r>
    <r>
      <rPr>
        <b/>
        <sz val="11"/>
        <rFont val="Times New Roman"/>
        <family val="1"/>
        <charset val="204"/>
      </rPr>
      <t>(отсутствие арбитража)
(Задача 4 в разделе "Задачи (Параграфы 1.3.1–1.3.5 Раздела 1.3)")</t>
    </r>
  </si>
  <si>
    <r>
      <rPr>
        <b/>
        <sz val="11"/>
        <color rgb="FFFF0000"/>
        <rFont val="Times New Roman"/>
        <family val="1"/>
        <charset val="204"/>
      </rPr>
      <t xml:space="preserve">Задача 44. </t>
    </r>
    <r>
      <rPr>
        <b/>
        <sz val="11"/>
        <color theme="1"/>
        <rFont val="Times New Roman"/>
        <family val="1"/>
        <charset val="204"/>
      </rPr>
      <t>Определение доходности одного инструмента по доходности другого
 (Задача 5 в разделе "Задачи (Параграфы 1.3.1–1.3.5 Раздела 1.3)")</t>
    </r>
  </si>
  <si>
    <r>
      <rPr>
        <b/>
        <sz val="11"/>
        <color rgb="FFFF0000"/>
        <rFont val="Times New Roman"/>
        <family val="1"/>
        <charset val="204"/>
      </rPr>
      <t xml:space="preserve">Задача 46. </t>
    </r>
    <r>
      <rPr>
        <b/>
        <sz val="11"/>
        <rFont val="Times New Roman"/>
        <family val="1"/>
        <charset val="204"/>
      </rPr>
      <t>Налоги по депозитам и инфляция (с 18 г. также определяется налог по купону корпоративных облигаций)</t>
    </r>
  </si>
  <si>
    <r>
      <rPr>
        <b/>
        <sz val="11"/>
        <color rgb="FFFF0000"/>
        <rFont val="Times New Roman"/>
        <family val="1"/>
        <charset val="204"/>
      </rPr>
      <t xml:space="preserve">Задача 47. </t>
    </r>
    <r>
      <rPr>
        <b/>
        <sz val="11"/>
        <color theme="1"/>
        <rFont val="Times New Roman"/>
        <family val="1"/>
        <charset val="204"/>
      </rPr>
      <t>Доход по акциям: курсовая стоимость (Sк) и выплата дивидендов (Sдив)
с учетом комиссий проф. участников РЦБ и налога НДФЛ</t>
    </r>
  </si>
  <si>
    <r>
      <rPr>
        <b/>
        <sz val="11"/>
        <color rgb="FFFF0000"/>
        <rFont val="Calibri"/>
        <family val="2"/>
        <charset val="204"/>
        <scheme val="minor"/>
      </rPr>
      <t xml:space="preserve">Задача 48. </t>
    </r>
    <r>
      <rPr>
        <b/>
        <sz val="11"/>
        <color theme="1"/>
        <rFont val="Calibri"/>
        <family val="2"/>
        <charset val="204"/>
        <scheme val="minor"/>
      </rPr>
      <t>Представлена таблица из Задания 8 МР, для возможного использования на занятиях</t>
    </r>
  </si>
  <si>
    <r>
      <rPr>
        <b/>
        <sz val="11"/>
        <color rgb="FFFF0000"/>
        <rFont val="Times New Roman"/>
        <family val="1"/>
        <charset val="204"/>
      </rPr>
      <t xml:space="preserve">Задача 49. </t>
    </r>
    <r>
      <rPr>
        <b/>
        <sz val="11"/>
        <rFont val="Times New Roman"/>
        <family val="1"/>
        <charset val="204"/>
      </rPr>
      <t xml:space="preserve">Представлена таблица из Задания 9 МР, для возможного использования на занятиях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</si>
</sst>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0.00\ &quot;₽&quot;;[Red]\-#,##0.00\ &quot;₽&quot;"/>
    <numFmt numFmtId="42" formatCode="_-* #,##0\ &quot;₽&quot;_-;\-* #,##0\ &quot;₽&quot;_-;_-* &quot;-&quot;\ &quot;₽&quot;_-;_-@_-"/>
    <numFmt numFmtId="44" formatCode="_-* #,##0.00\ &quot;₽&quot;_-;\-* #,##0.00\ &quot;₽&quot;_-;_-* &quot;-&quot;??\ &quot;₽&quot;_-;_-@_-"/>
    <numFmt numFmtId="43" formatCode="_-* #,##0.00\ _₽_-;\-* #,##0.00\ _₽_-;_-* &quot;-&quot;??\ _₽_-;_-@_-"/>
    <numFmt numFmtId="164" formatCode="0.0000"/>
    <numFmt numFmtId="165" formatCode="0.0%"/>
    <numFmt numFmtId="166" formatCode="#,##0.0"/>
    <numFmt numFmtId="167" formatCode="#,##0.00\ &quot;₽&quot;"/>
    <numFmt numFmtId="168" formatCode="_-* #,##0.00000\ &quot;₽&quot;_-;\-* #,##0.00000\ &quot;₽&quot;_-;_-* &quot;-&quot;?????\ &quot;₽&quot;_-;_-@_-"/>
    <numFmt numFmtId="169" formatCode="_-[$$-409]* #,##0.00_ ;_-[$$-409]* \-#,##0.00\ ;_-[$$-409]* &quot;-&quot;??_ ;_-@_ "/>
    <numFmt numFmtId="170" formatCode="_-* #,##0.00\ [$€-1]_-;\-* #,##0.00\ [$€-1]_-;_-* &quot;-&quot;??\ [$€-1]_-;_-@_-"/>
    <numFmt numFmtId="171" formatCode="#,##0.0000_ ;\-#,##0.0000\ "/>
    <numFmt numFmtId="172" formatCode="#,##0.00_ ;\-#,##0.00\ "/>
    <numFmt numFmtId="173" formatCode="&quot;$&quot;#,##0.00"/>
    <numFmt numFmtId="174" formatCode="_(* #,##0_);_(* \(#,##0\);_(* &quot;-&quot;??_);_(@_)"/>
    <numFmt numFmtId="175" formatCode="#,##0.00_ ;[Red]\-#,##0.00\ "/>
    <numFmt numFmtId="176" formatCode="_-[$$-409]* #,##0.0000_ ;_-[$$-409]* \-#,##0.0000\ ;_-[$$-409]* &quot;-&quot;????_ ;_-@_ "/>
  </numFmts>
  <fonts count="84">
    <font>
      <sz val="11"/>
      <color theme="1"/>
      <name val="Calibri"/>
      <family val="2"/>
      <charset val="204"/>
      <scheme val="minor"/>
    </font>
    <font>
      <b/>
      <sz val="11"/>
      <color theme="1"/>
      <name val="Calibri"/>
      <family val="2"/>
      <charset val="204"/>
      <scheme val="minor"/>
    </font>
    <font>
      <b/>
      <sz val="11"/>
      <color rgb="FFFF0000"/>
      <name val="Calibri"/>
      <family val="2"/>
      <charset val="204"/>
      <scheme val="minor"/>
    </font>
    <font>
      <b/>
      <sz val="11"/>
      <color theme="5" tint="-0.249977111117893"/>
      <name val="Calibri"/>
      <family val="2"/>
      <charset val="204"/>
      <scheme val="minor"/>
    </font>
    <font>
      <sz val="14"/>
      <color theme="1"/>
      <name val="Times New Roman"/>
      <family val="1"/>
      <charset val="204"/>
    </font>
    <font>
      <b/>
      <sz val="11"/>
      <color theme="1"/>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b/>
      <sz val="14"/>
      <color rgb="FFFFFFFF"/>
      <name val="Times New Roman"/>
      <family val="1"/>
      <charset val="204"/>
    </font>
    <font>
      <b/>
      <sz val="11"/>
      <color rgb="FFFFFFFF"/>
      <name val="Times New Roman"/>
      <family val="1"/>
      <charset val="204"/>
    </font>
    <font>
      <b/>
      <i/>
      <sz val="11"/>
      <color theme="1"/>
      <name val="Times New Roman"/>
      <family val="1"/>
      <charset val="204"/>
    </font>
    <font>
      <b/>
      <i/>
      <sz val="12"/>
      <color theme="1"/>
      <name val="Times New Roman"/>
      <family val="1"/>
      <charset val="204"/>
    </font>
    <font>
      <b/>
      <i/>
      <sz val="14"/>
      <color rgb="FFFFFFFF"/>
      <name val="Times New Roman"/>
      <family val="1"/>
      <charset val="204"/>
    </font>
    <font>
      <b/>
      <i/>
      <sz val="10"/>
      <color theme="1"/>
      <name val="Times New Roman"/>
      <family val="1"/>
      <charset val="204"/>
    </font>
    <font>
      <sz val="14"/>
      <color rgb="FFFFFFFF"/>
      <name val="Times New Roman"/>
      <family val="1"/>
      <charset val="204"/>
    </font>
    <font>
      <b/>
      <sz val="12"/>
      <color rgb="FFFF0000"/>
      <name val="Times New Roman"/>
      <family val="1"/>
      <charset val="204"/>
    </font>
    <font>
      <b/>
      <sz val="11"/>
      <color rgb="FF7030A0"/>
      <name val="Calibri"/>
      <family val="2"/>
      <charset val="204"/>
      <scheme val="minor"/>
    </font>
    <font>
      <sz val="11"/>
      <color rgb="FF7030A0"/>
      <name val="Calibri"/>
      <family val="2"/>
      <charset val="204"/>
      <scheme val="minor"/>
    </font>
    <font>
      <b/>
      <sz val="11"/>
      <color rgb="FF7030A0"/>
      <name val="Times New Roman"/>
      <family val="1"/>
      <charset val="204"/>
    </font>
    <font>
      <b/>
      <sz val="12"/>
      <color rgb="FF7030A0"/>
      <name val="Times New Roman"/>
      <family val="1"/>
      <charset val="204"/>
    </font>
    <font>
      <sz val="11"/>
      <name val="Calibri"/>
      <family val="2"/>
      <charset val="204"/>
      <scheme val="minor"/>
    </font>
    <font>
      <b/>
      <sz val="12"/>
      <name val="Arial"/>
      <family val="2"/>
    </font>
    <font>
      <b/>
      <sz val="12"/>
      <color theme="3" tint="-0.249977111117893"/>
      <name val="Arial"/>
      <family val="2"/>
    </font>
    <font>
      <b/>
      <sz val="11"/>
      <name val="Calibri"/>
      <family val="2"/>
      <charset val="204"/>
      <scheme val="minor"/>
    </font>
    <font>
      <b/>
      <sz val="10"/>
      <name val="Arial"/>
      <family val="2"/>
    </font>
    <font>
      <b/>
      <sz val="12"/>
      <color rgb="FF7030A0"/>
      <name val="Arial"/>
      <family val="2"/>
    </font>
    <font>
      <b/>
      <sz val="14"/>
      <color theme="1"/>
      <name val="Times New Roman"/>
      <family val="1"/>
      <charset val="204"/>
    </font>
    <font>
      <b/>
      <sz val="10"/>
      <color theme="1"/>
      <name val="Times New Roman"/>
      <family val="1"/>
      <charset val="204"/>
    </font>
    <font>
      <b/>
      <sz val="11"/>
      <color rgb="FF252525"/>
      <name val="Times New Roman"/>
      <family val="1"/>
      <charset val="204"/>
    </font>
    <font>
      <sz val="11"/>
      <color rgb="FF252525"/>
      <name val="Times New Roman"/>
      <family val="1"/>
      <charset val="204"/>
    </font>
    <font>
      <sz val="11"/>
      <color rgb="FF2F5496"/>
      <name val="Times New Roman"/>
      <family val="1"/>
      <charset val="204"/>
    </font>
    <font>
      <sz val="11"/>
      <color rgb="FFFF0000"/>
      <name val="Times New Roman"/>
      <family val="1"/>
      <charset val="204"/>
    </font>
    <font>
      <sz val="11"/>
      <color rgb="FF008000"/>
      <name val="Times New Roman"/>
      <family val="1"/>
      <charset val="204"/>
    </font>
    <font>
      <b/>
      <sz val="10"/>
      <color rgb="FFFFFFFF"/>
      <name val="Times New Roman"/>
      <family val="1"/>
      <charset val="204"/>
    </font>
    <font>
      <sz val="10"/>
      <color rgb="FF000000"/>
      <name val="Times New Roman"/>
      <family val="1"/>
      <charset val="204"/>
    </font>
    <font>
      <b/>
      <sz val="11"/>
      <color theme="0"/>
      <name val="Times New Roman"/>
      <family val="1"/>
      <charset val="204"/>
    </font>
    <font>
      <u/>
      <sz val="11"/>
      <color theme="10"/>
      <name val="Calibri"/>
      <family val="2"/>
      <charset val="204"/>
      <scheme val="minor"/>
    </font>
    <font>
      <b/>
      <u/>
      <sz val="11"/>
      <color theme="10"/>
      <name val="Calibri"/>
      <family val="2"/>
      <charset val="204"/>
      <scheme val="minor"/>
    </font>
    <font>
      <sz val="10"/>
      <color theme="1"/>
      <name val="Calibri"/>
      <family val="2"/>
      <charset val="204"/>
      <scheme val="minor"/>
    </font>
    <font>
      <sz val="11"/>
      <color rgb="FF7030A0"/>
      <name val="Times New Roman"/>
      <family val="1"/>
      <charset val="204"/>
    </font>
    <font>
      <b/>
      <sz val="11"/>
      <name val="Times New Roman"/>
      <family val="1"/>
      <charset val="204"/>
    </font>
    <font>
      <b/>
      <sz val="11"/>
      <color rgb="FFFF0000"/>
      <name val="Times New Roman"/>
      <family val="1"/>
      <charset val="204"/>
    </font>
    <font>
      <sz val="11"/>
      <name val="Times New Roman"/>
      <family val="1"/>
      <charset val="204"/>
    </font>
    <font>
      <sz val="12"/>
      <name val="Times New Roman"/>
      <family val="1"/>
      <charset val="204"/>
    </font>
    <font>
      <b/>
      <sz val="12"/>
      <name val="Times New Roman"/>
      <family val="1"/>
      <charset val="204"/>
    </font>
    <font>
      <b/>
      <sz val="14"/>
      <color rgb="FF7030A0"/>
      <name val="Times New Roman"/>
      <family val="1"/>
      <charset val="204"/>
    </font>
    <font>
      <b/>
      <sz val="9"/>
      <color rgb="FF7030A0"/>
      <name val="Times New Roman"/>
      <family val="1"/>
      <charset val="204"/>
    </font>
    <font>
      <sz val="12"/>
      <color rgb="FF000000"/>
      <name val="Times New Roman"/>
      <family val="1"/>
      <charset val="204"/>
    </font>
    <font>
      <sz val="13.2"/>
      <color rgb="FF444444"/>
      <name val="Arial"/>
      <family val="2"/>
      <charset val="204"/>
    </font>
    <font>
      <sz val="14"/>
      <color theme="1"/>
      <name val="Symbol"/>
      <family val="1"/>
      <charset val="2"/>
    </font>
    <font>
      <b/>
      <sz val="12"/>
      <color rgb="FF000000"/>
      <name val="Times New Roman"/>
      <family val="1"/>
      <charset val="204"/>
    </font>
    <font>
      <sz val="11"/>
      <color rgb="FF000000"/>
      <name val="Times New Roman"/>
      <family val="1"/>
      <charset val="204"/>
    </font>
    <font>
      <sz val="11"/>
      <color rgb="FF0070C0"/>
      <name val="Times New Roman"/>
      <family val="1"/>
      <charset val="204"/>
    </font>
    <font>
      <sz val="10"/>
      <name val="Times New Roman"/>
      <family val="1"/>
      <charset val="204"/>
    </font>
    <font>
      <b/>
      <sz val="10"/>
      <color rgb="FF7030A0"/>
      <name val="Times New Roman"/>
      <family val="1"/>
      <charset val="204"/>
    </font>
    <font>
      <sz val="11"/>
      <color theme="1"/>
      <name val="Calibri"/>
      <family val="2"/>
      <charset val="204"/>
      <scheme val="minor"/>
    </font>
    <font>
      <sz val="11"/>
      <color rgb="FFC00000"/>
      <name val="Times New Roman"/>
      <family val="1"/>
      <charset val="204"/>
    </font>
    <font>
      <sz val="11"/>
      <color theme="3" tint="-0.249977111117893"/>
      <name val="Times New Roman"/>
      <family val="1"/>
      <charset val="204"/>
    </font>
    <font>
      <sz val="11"/>
      <color rgb="FFFF0000"/>
      <name val="Calibri"/>
      <family val="2"/>
      <charset val="204"/>
      <scheme val="minor"/>
    </font>
    <font>
      <b/>
      <sz val="11"/>
      <color rgb="FF0070C0"/>
      <name val="Calibri"/>
      <family val="2"/>
      <charset val="204"/>
      <scheme val="minor"/>
    </font>
    <font>
      <b/>
      <sz val="11"/>
      <color rgb="FF333333"/>
      <name val="Calibri"/>
      <family val="2"/>
      <charset val="204"/>
      <scheme val="minor"/>
    </font>
    <font>
      <sz val="9"/>
      <color indexed="81"/>
      <name val="Tahoma"/>
      <family val="2"/>
      <charset val="204"/>
    </font>
    <font>
      <b/>
      <sz val="9"/>
      <color indexed="81"/>
      <name val="Tahoma"/>
      <family val="2"/>
      <charset val="204"/>
    </font>
    <font>
      <b/>
      <sz val="9"/>
      <color theme="1"/>
      <name val="Calibri"/>
      <family val="2"/>
      <charset val="204"/>
      <scheme val="minor"/>
    </font>
    <font>
      <b/>
      <sz val="9"/>
      <color theme="1"/>
      <name val="Times New Roman"/>
      <family val="1"/>
      <charset val="204"/>
    </font>
    <font>
      <i/>
      <sz val="11"/>
      <color theme="1"/>
      <name val="Times New Roman"/>
      <family val="1"/>
      <charset val="204"/>
    </font>
    <font>
      <b/>
      <sz val="10"/>
      <color rgb="FF7030A0"/>
      <name val="Calibri"/>
      <family val="2"/>
      <charset val="204"/>
      <scheme val="minor"/>
    </font>
    <font>
      <sz val="10"/>
      <color theme="1"/>
      <name val="Times New Roman"/>
      <family val="1"/>
      <charset val="204"/>
    </font>
    <font>
      <b/>
      <sz val="14"/>
      <color rgb="FF953735"/>
      <name val="Calibri"/>
      <family val="2"/>
      <charset val="204"/>
      <scheme val="minor"/>
    </font>
    <font>
      <b/>
      <sz val="10"/>
      <color rgb="FF000000"/>
      <name val="Times New Roman"/>
      <family val="1"/>
      <charset val="204"/>
    </font>
    <font>
      <b/>
      <sz val="8"/>
      <color theme="1"/>
      <name val="Calibri"/>
      <family val="2"/>
      <charset val="204"/>
      <scheme val="minor"/>
    </font>
    <font>
      <b/>
      <sz val="10"/>
      <name val="Times New Roman"/>
      <family val="1"/>
      <charset val="204"/>
    </font>
    <font>
      <b/>
      <u/>
      <sz val="11"/>
      <color theme="1"/>
      <name val="Calibri"/>
      <family val="2"/>
      <charset val="204"/>
      <scheme val="minor"/>
    </font>
    <font>
      <sz val="12"/>
      <color rgb="FF646464"/>
      <name val="Times New Roman"/>
      <family val="1"/>
      <charset val="204"/>
    </font>
    <font>
      <b/>
      <u/>
      <sz val="11"/>
      <color theme="3" tint="-0.249977111117893"/>
      <name val="Calibri"/>
      <family val="2"/>
      <charset val="204"/>
      <scheme val="minor"/>
    </font>
    <font>
      <sz val="7"/>
      <color rgb="FF666666"/>
      <name val="Trebuchet MS"/>
      <family val="2"/>
      <charset val="204"/>
    </font>
    <font>
      <b/>
      <sz val="9"/>
      <color rgb="FFFF0000"/>
      <name val="Calibri"/>
      <family val="2"/>
      <charset val="204"/>
      <scheme val="minor"/>
    </font>
    <font>
      <sz val="10"/>
      <name val="Arial"/>
      <family val="2"/>
      <charset val="204"/>
    </font>
    <font>
      <sz val="10"/>
      <color rgb="FF3E4447"/>
      <name val="Roboto Regular"/>
    </font>
    <font>
      <sz val="10"/>
      <color rgb="FF00B0F0"/>
      <name val="Roboto Regular"/>
      <charset val="204"/>
    </font>
    <font>
      <b/>
      <sz val="11"/>
      <color theme="3" tint="0.39997558519241921"/>
      <name val="Times New Roman"/>
      <family val="1"/>
      <charset val="204"/>
    </font>
    <font>
      <sz val="11"/>
      <color theme="3" tint="0.39997558519241921"/>
      <name val="Times New Roman"/>
      <family val="1"/>
      <charset val="204"/>
    </font>
    <font>
      <b/>
      <sz val="9"/>
      <color rgb="FFFF0000"/>
      <name val="Times New Roman"/>
      <family val="1"/>
      <charset val="204"/>
    </font>
  </fonts>
  <fills count="2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4472C4"/>
        <bgColor indexed="64"/>
      </patternFill>
    </fill>
    <fill>
      <patternFill patternType="solid">
        <fgColor rgb="FFFFFFFF"/>
        <bgColor indexed="64"/>
      </patternFill>
    </fill>
    <fill>
      <patternFill patternType="solid">
        <fgColor indexed="22"/>
        <bgColor indexed="64"/>
      </patternFill>
    </fill>
    <fill>
      <patternFill patternType="solid">
        <fgColor rgb="FF2E74B5"/>
        <bgColor indexed="64"/>
      </patternFill>
    </fill>
    <fill>
      <patternFill patternType="solid">
        <fgColor rgb="FFD9E2F3"/>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B4C6E7"/>
        <bgColor indexed="64"/>
      </patternFill>
    </fill>
    <fill>
      <patternFill patternType="solid">
        <fgColor theme="3" tint="0.59999389629810485"/>
        <bgColor indexed="64"/>
      </patternFill>
    </fill>
    <fill>
      <patternFill patternType="solid">
        <fgColor theme="0" tint="-0.2499465926084170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theme="5" tint="0.59999389629810485"/>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4472C4"/>
      </right>
      <top style="medium">
        <color rgb="FF4472C4"/>
      </top>
      <bottom/>
      <diagonal/>
    </border>
    <border>
      <left style="medium">
        <color rgb="FF4472C4"/>
      </left>
      <right/>
      <top style="medium">
        <color rgb="FF4472C4"/>
      </top>
      <bottom style="medium">
        <color rgb="FF4472C4"/>
      </bottom>
      <diagonal/>
    </border>
    <border>
      <left style="medium">
        <color rgb="FF4472C4"/>
      </left>
      <right style="medium">
        <color rgb="FF4472C4"/>
      </right>
      <top style="medium">
        <color rgb="FF4472C4"/>
      </top>
      <bottom style="medium">
        <color rgb="FF4472C4"/>
      </bottom>
      <diagonal/>
    </border>
    <border>
      <left/>
      <right/>
      <top style="medium">
        <color rgb="FF4472C4"/>
      </top>
      <bottom style="medium">
        <color rgb="FF4472C4"/>
      </bottom>
      <diagonal/>
    </border>
    <border>
      <left style="medium">
        <color rgb="FF4472C4"/>
      </left>
      <right style="medium">
        <color rgb="FF4472C4"/>
      </right>
      <top/>
      <bottom/>
      <diagonal/>
    </border>
    <border>
      <left style="medium">
        <color rgb="FF4472C4"/>
      </left>
      <right/>
      <top/>
      <bottom style="medium">
        <color rgb="FF4472C4"/>
      </bottom>
      <diagonal/>
    </border>
    <border>
      <left/>
      <right/>
      <top/>
      <bottom style="medium">
        <color rgb="FF4472C4"/>
      </bottom>
      <diagonal/>
    </border>
    <border>
      <left/>
      <right style="medium">
        <color rgb="FF4472C4"/>
      </right>
      <top style="medium">
        <color rgb="FF4472C4"/>
      </top>
      <bottom style="medium">
        <color rgb="FF4472C4"/>
      </bottom>
      <diagonal/>
    </border>
    <border>
      <left style="medium">
        <color indexed="64"/>
      </left>
      <right/>
      <top style="medium">
        <color rgb="FF4472C4"/>
      </top>
      <bottom style="medium">
        <color rgb="FF4472C4"/>
      </bottom>
      <diagonal/>
    </border>
    <border>
      <left/>
      <right style="medium">
        <color indexed="64"/>
      </right>
      <top style="medium">
        <color rgb="FF4472C4"/>
      </top>
      <bottom style="medium">
        <color rgb="FF4472C4"/>
      </bottom>
      <diagonal/>
    </border>
    <border>
      <left style="medium">
        <color rgb="FF4472C4"/>
      </left>
      <right style="medium">
        <color indexed="64"/>
      </right>
      <top style="medium">
        <color rgb="FF4472C4"/>
      </top>
      <bottom style="medium">
        <color rgb="FF4472C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4472C4"/>
      </bottom>
      <diagonal/>
    </border>
    <border>
      <left/>
      <right style="medium">
        <color rgb="FF4472C4"/>
      </right>
      <top style="medium">
        <color indexed="64"/>
      </top>
      <bottom style="medium">
        <color rgb="FF4472C4"/>
      </bottom>
      <diagonal/>
    </border>
    <border>
      <left style="medium">
        <color rgb="FF4472C4"/>
      </left>
      <right/>
      <top style="medium">
        <color indexed="64"/>
      </top>
      <bottom style="medium">
        <color rgb="FF4472C4"/>
      </bottom>
      <diagonal/>
    </border>
    <border>
      <left/>
      <right style="medium">
        <color indexed="64"/>
      </right>
      <top style="medium">
        <color indexed="64"/>
      </top>
      <bottom style="medium">
        <color rgb="FF4472C4"/>
      </bottom>
      <diagonal/>
    </border>
    <border>
      <left style="medium">
        <color rgb="FF4472C4"/>
      </left>
      <right style="medium">
        <color indexed="64"/>
      </right>
      <top/>
      <bottom/>
      <diagonal/>
    </border>
    <border>
      <left style="medium">
        <color indexed="64"/>
      </left>
      <right/>
      <top/>
      <bottom style="medium">
        <color rgb="FF4472C4"/>
      </bottom>
      <diagonal/>
    </border>
    <border>
      <left style="medium">
        <color rgb="FF4472C4"/>
      </left>
      <right style="medium">
        <color indexed="64"/>
      </right>
      <top/>
      <bottom style="medium">
        <color rgb="FF4472C4"/>
      </bottom>
      <diagonal/>
    </border>
    <border>
      <left/>
      <right/>
      <top style="medium">
        <color indexed="64"/>
      </top>
      <bottom style="medium">
        <color rgb="FF4472C4"/>
      </bottom>
      <diagonal/>
    </border>
    <border>
      <left style="medium">
        <color indexed="64"/>
      </left>
      <right/>
      <top style="medium">
        <color rgb="FF4472C4"/>
      </top>
      <bottom/>
      <diagonal/>
    </border>
    <border>
      <left/>
      <right style="medium">
        <color rgb="FF0070C0"/>
      </right>
      <top style="medium">
        <color rgb="FF4472C4"/>
      </top>
      <bottom style="medium">
        <color rgb="FF4472C4"/>
      </bottom>
      <diagonal/>
    </border>
    <border>
      <left style="medium">
        <color rgb="FF0070C0"/>
      </left>
      <right style="medium">
        <color rgb="FF0070C0"/>
      </right>
      <top style="medium">
        <color rgb="FF0070C0"/>
      </top>
      <bottom style="medium">
        <color rgb="FF0070C0"/>
      </bottom>
      <diagonal/>
    </border>
    <border>
      <left/>
      <right style="medium">
        <color rgb="FF0070C0"/>
      </right>
      <top style="medium">
        <color rgb="FF4472C4"/>
      </top>
      <bottom/>
      <diagonal/>
    </border>
    <border>
      <left/>
      <right/>
      <top style="medium">
        <color rgb="FF0070C0"/>
      </top>
      <bottom style="medium">
        <color rgb="FF0070C0"/>
      </bottom>
      <diagonal/>
    </border>
    <border>
      <left/>
      <right/>
      <top style="medium">
        <color rgb="FF0070C0"/>
      </top>
      <bottom/>
      <diagonal/>
    </border>
    <border>
      <left/>
      <right style="medium">
        <color indexed="64"/>
      </right>
      <top/>
      <bottom style="medium">
        <color rgb="FF4472C4"/>
      </bottom>
      <diagonal/>
    </border>
    <border>
      <left/>
      <right style="medium">
        <color indexed="64"/>
      </right>
      <top style="medium">
        <color rgb="FF4472C4"/>
      </top>
      <bottom/>
      <diagonal/>
    </border>
    <border>
      <left style="medium">
        <color indexed="64"/>
      </left>
      <right style="medium">
        <color rgb="FF0070C0"/>
      </right>
      <top style="medium">
        <color rgb="FF0070C0"/>
      </top>
      <bottom style="medium">
        <color rgb="FF0070C0"/>
      </bottom>
      <diagonal/>
    </border>
    <border>
      <left style="medium">
        <color rgb="FF0070C0"/>
      </left>
      <right style="medium">
        <color indexed="64"/>
      </right>
      <top style="medium">
        <color rgb="FF0070C0"/>
      </top>
      <bottom style="medium">
        <color rgb="FF0070C0"/>
      </bottom>
      <diagonal/>
    </border>
    <border>
      <left/>
      <right style="medium">
        <color indexed="64"/>
      </right>
      <top style="medium">
        <color rgb="FF0070C0"/>
      </top>
      <bottom style="medium">
        <color rgb="FF0070C0"/>
      </bottom>
      <diagonal/>
    </border>
    <border>
      <left style="medium">
        <color indexed="64"/>
      </left>
      <right/>
      <top style="medium">
        <color rgb="FF0070C0"/>
      </top>
      <bottom/>
      <diagonal/>
    </border>
    <border>
      <left style="medium">
        <color indexed="64"/>
      </left>
      <right style="medium">
        <color rgb="FF0070C0"/>
      </right>
      <top style="medium">
        <color rgb="FF0070C0"/>
      </top>
      <bottom style="medium">
        <color indexed="64"/>
      </bottom>
      <diagonal/>
    </border>
    <border>
      <left style="medium">
        <color rgb="FF0070C0"/>
      </left>
      <right style="medium">
        <color rgb="FF0070C0"/>
      </right>
      <top style="medium">
        <color rgb="FF0070C0"/>
      </top>
      <bottom style="medium">
        <color indexed="64"/>
      </bottom>
      <diagonal/>
    </border>
    <border>
      <left/>
      <right/>
      <top style="medium">
        <color rgb="FF0070C0"/>
      </top>
      <bottom style="medium">
        <color indexed="64"/>
      </bottom>
      <diagonal/>
    </border>
    <border>
      <left/>
      <right style="medium">
        <color indexed="64"/>
      </right>
      <top style="medium">
        <color rgb="FF0070C0"/>
      </top>
      <bottom style="medium">
        <color indexed="64"/>
      </bottom>
      <diagonal/>
    </border>
    <border>
      <left style="medium">
        <color indexed="64"/>
      </left>
      <right style="medium">
        <color rgb="FF0070C0"/>
      </right>
      <top/>
      <bottom style="medium">
        <color indexed="64"/>
      </bottom>
      <diagonal/>
    </border>
    <border>
      <left style="medium">
        <color rgb="FF0070C0"/>
      </left>
      <right style="medium">
        <color rgb="FF0070C0"/>
      </right>
      <top/>
      <bottom style="medium">
        <color indexed="64"/>
      </bottom>
      <diagonal/>
    </border>
    <border>
      <left style="medium">
        <color rgb="FF4472C4"/>
      </left>
      <right style="medium">
        <color rgb="FF4472C4"/>
      </right>
      <top/>
      <bottom style="medium">
        <color rgb="FF0070C0"/>
      </bottom>
      <diagonal/>
    </border>
    <border>
      <left/>
      <right/>
      <top/>
      <bottom style="medium">
        <color rgb="FF0070C0"/>
      </bottom>
      <diagonal/>
    </border>
    <border>
      <left style="medium">
        <color indexed="64"/>
      </left>
      <right/>
      <top/>
      <bottom style="medium">
        <color rgb="FF0070C0"/>
      </bottom>
      <diagonal/>
    </border>
    <border>
      <left/>
      <right style="medium">
        <color indexed="64"/>
      </right>
      <top/>
      <bottom style="medium">
        <color rgb="FF0070C0"/>
      </bottom>
      <diagonal/>
    </border>
    <border>
      <left style="medium">
        <color rgb="FF4472C4"/>
      </left>
      <right style="medium">
        <color rgb="FF4472C4"/>
      </right>
      <top style="medium">
        <color rgb="FF4472C4"/>
      </top>
      <bottom/>
      <diagonal/>
    </border>
    <border>
      <left style="medium">
        <color rgb="FF4472C4"/>
      </left>
      <right style="medium">
        <color rgb="FF4472C4"/>
      </right>
      <top/>
      <bottom style="medium">
        <color rgb="FF4472C4"/>
      </bottom>
      <diagonal/>
    </border>
    <border>
      <left/>
      <right style="medium">
        <color rgb="FF4472C4"/>
      </right>
      <top/>
      <bottom style="medium">
        <color rgb="FF4472C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FFFFFF"/>
      </right>
      <top/>
      <bottom style="medium">
        <color rgb="FFFFFFFF"/>
      </bottom>
      <diagonal/>
    </border>
    <border>
      <left/>
      <right/>
      <top style="medium">
        <color indexed="64"/>
      </top>
      <bottom style="medium">
        <color rgb="FFFFFFFF"/>
      </bottom>
      <diagonal/>
    </border>
    <border>
      <left style="medium">
        <color rgb="FFFFFFFF"/>
      </left>
      <right style="medium">
        <color rgb="FFFFFFFF"/>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rgb="FFFFFFFF"/>
      </left>
      <right style="medium">
        <color rgb="FFFFFFFF"/>
      </right>
      <top style="medium">
        <color rgb="FFFFFFFF"/>
      </top>
      <bottom style="medium">
        <color rgb="FFFFFFFF"/>
      </bottom>
      <diagonal/>
    </border>
    <border>
      <left/>
      <right style="medium">
        <color rgb="FF8EAADB"/>
      </right>
      <top/>
      <bottom style="medium">
        <color rgb="FF8EAADB"/>
      </bottom>
      <diagonal/>
    </border>
    <border>
      <left style="medium">
        <color rgb="FF8EAADB"/>
      </left>
      <right style="medium">
        <color rgb="FF8EAADB"/>
      </right>
      <top style="medium">
        <color rgb="FF8EAADB"/>
      </top>
      <bottom style="medium">
        <color rgb="FF8EAADB"/>
      </bottom>
      <diagonal/>
    </border>
    <border>
      <left/>
      <right/>
      <top/>
      <bottom style="medium">
        <color rgb="FF8EAADB"/>
      </bottom>
      <diagonal/>
    </border>
    <border>
      <left style="medium">
        <color rgb="FF8EAADB"/>
      </left>
      <right/>
      <top/>
      <bottom style="medium">
        <color rgb="FF8EAADB"/>
      </bottom>
      <diagonal/>
    </border>
    <border>
      <left style="medium">
        <color rgb="FFFF0000"/>
      </left>
      <right style="medium">
        <color rgb="FF8EAADB"/>
      </right>
      <top/>
      <bottom style="medium">
        <color rgb="FF8EAADB"/>
      </bottom>
      <diagonal/>
    </border>
    <border>
      <left style="medium">
        <color rgb="FFFF0000"/>
      </left>
      <right/>
      <top/>
      <bottom style="medium">
        <color rgb="FF8EAADB"/>
      </bottom>
      <diagonal/>
    </border>
    <border>
      <left style="medium">
        <color rgb="FF8EAADB"/>
      </left>
      <right/>
      <top style="medium">
        <color rgb="FF8EAADB"/>
      </top>
      <bottom style="medium">
        <color rgb="FF8EAADB"/>
      </bottom>
      <diagonal/>
    </border>
    <border>
      <left/>
      <right style="medium">
        <color rgb="FF8EAADB"/>
      </right>
      <top style="medium">
        <color rgb="FF8EAADB"/>
      </top>
      <bottom style="medium">
        <color rgb="FF8EAADB"/>
      </bottom>
      <diagonal/>
    </border>
    <border>
      <left style="medium">
        <color indexed="64"/>
      </left>
      <right style="medium">
        <color rgb="FF8EAADB"/>
      </right>
      <top style="medium">
        <color indexed="64"/>
      </top>
      <bottom style="thick">
        <color rgb="FF8EAADB"/>
      </bottom>
      <diagonal/>
    </border>
    <border>
      <left style="medium">
        <color rgb="FFFF0000"/>
      </left>
      <right style="medium">
        <color rgb="FF8EAADB"/>
      </right>
      <top style="medium">
        <color indexed="64"/>
      </top>
      <bottom style="thick">
        <color rgb="FF8EAADB"/>
      </bottom>
      <diagonal/>
    </border>
    <border>
      <left/>
      <right style="medium">
        <color rgb="FF8EAADB"/>
      </right>
      <top style="medium">
        <color indexed="64"/>
      </top>
      <bottom style="thick">
        <color rgb="FF8EAADB"/>
      </bottom>
      <diagonal/>
    </border>
    <border>
      <left/>
      <right style="medium">
        <color indexed="64"/>
      </right>
      <top style="medium">
        <color indexed="64"/>
      </top>
      <bottom style="thick">
        <color rgb="FF8EAADB"/>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style="medium">
        <color indexed="64"/>
      </bottom>
      <diagonal/>
    </border>
    <border>
      <left/>
      <right style="medium">
        <color rgb="FF8EAADB"/>
      </right>
      <top/>
      <bottom style="medium">
        <color indexed="64"/>
      </bottom>
      <diagonal/>
    </border>
    <border>
      <left style="medium">
        <color theme="3" tint="0.39994506668294322"/>
      </left>
      <right style="medium">
        <color rgb="FFFF0000"/>
      </right>
      <top style="medium">
        <color indexed="64"/>
      </top>
      <bottom style="medium">
        <color indexed="64"/>
      </bottom>
      <diagonal/>
    </border>
    <border>
      <left style="medium">
        <color theme="3" tint="0.39994506668294322"/>
      </left>
      <right style="medium">
        <color theme="3" tint="0.39994506668294322"/>
      </right>
      <top style="medium">
        <color indexed="64"/>
      </top>
      <bottom style="medium">
        <color indexed="64"/>
      </bottom>
      <diagonal/>
    </border>
    <border>
      <left style="medium">
        <color rgb="FF8EAADB"/>
      </left>
      <right style="medium">
        <color rgb="FFFF0000"/>
      </right>
      <top style="medium">
        <color indexed="64"/>
      </top>
      <bottom style="thick">
        <color rgb="FF8EAADB"/>
      </bottom>
      <diagonal/>
    </border>
    <border>
      <left style="medium">
        <color rgb="FF8EAADB"/>
      </left>
      <right style="medium">
        <color rgb="FFFF0000"/>
      </right>
      <top/>
      <bottom style="medium">
        <color rgb="FF8EAADB"/>
      </bottom>
      <diagonal/>
    </border>
    <border>
      <left style="medium">
        <color rgb="FFFF0000"/>
      </left>
      <right/>
      <top style="medium">
        <color rgb="FF8EAADB"/>
      </top>
      <bottom style="medium">
        <color indexed="64"/>
      </bottom>
      <diagonal/>
    </border>
    <border>
      <left/>
      <right style="medium">
        <color rgb="FF8EAADB"/>
      </right>
      <top style="medium">
        <color rgb="FF8EAADB"/>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bottom style="medium">
        <color rgb="FFEEEEEE"/>
      </bottom>
      <diagonal/>
    </border>
    <border>
      <left/>
      <right style="thin">
        <color indexed="64"/>
      </right>
      <top/>
      <bottom style="thin">
        <color indexed="64"/>
      </bottom>
      <diagonal/>
    </border>
    <border>
      <left/>
      <right/>
      <top style="thin">
        <color indexed="64"/>
      </top>
      <bottom style="thin">
        <color indexed="64"/>
      </bottom>
      <diagonal/>
    </border>
    <border>
      <left/>
      <right/>
      <top style="thick">
        <color theme="5" tint="-0.499984740745262"/>
      </top>
      <bottom/>
      <diagonal/>
    </border>
    <border>
      <left style="thick">
        <color theme="5" tint="-0.499984740745262"/>
      </left>
      <right/>
      <top/>
      <bottom/>
      <diagonal/>
    </border>
    <border>
      <left style="thick">
        <color theme="5" tint="-0.499984740745262"/>
      </left>
      <right/>
      <top/>
      <bottom style="thick">
        <color theme="5" tint="-0.499984740745262"/>
      </bottom>
      <diagonal/>
    </border>
    <border>
      <left style="thin">
        <color indexed="64"/>
      </left>
      <right/>
      <top/>
      <bottom style="thick">
        <color theme="5" tint="-0.499984740745262"/>
      </bottom>
      <diagonal/>
    </border>
    <border>
      <left style="thick">
        <color theme="5" tint="-0.499984740745262"/>
      </left>
      <right style="thin">
        <color indexed="64"/>
      </right>
      <top style="thick">
        <color theme="5" tint="-0.499984740745262"/>
      </top>
      <bottom/>
      <diagonal/>
    </border>
    <border>
      <left/>
      <right/>
      <top/>
      <bottom style="thick">
        <color theme="5" tint="-0.499984740745262"/>
      </bottom>
      <diagonal/>
    </border>
  </borders>
  <cellStyleXfs count="5">
    <xf numFmtId="0" fontId="0" fillId="0" borderId="0"/>
    <xf numFmtId="0" fontId="37" fillId="0" borderId="0" applyNumberForma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9" fontId="56" fillId="0" borderId="0" applyFont="0" applyFill="0" applyBorder="0" applyAlignment="0" applyProtection="0"/>
  </cellStyleXfs>
  <cellXfs count="1177">
    <xf numFmtId="0" fontId="0" fillId="0" borderId="0" xfId="0"/>
    <xf numFmtId="4" fontId="0" fillId="0" borderId="0" xfId="0" applyNumberFormat="1"/>
    <xf numFmtId="0" fontId="1" fillId="0" borderId="0" xfId="0" applyFont="1"/>
    <xf numFmtId="10" fontId="0" fillId="0" borderId="0" xfId="0" applyNumberFormat="1"/>
    <xf numFmtId="0" fontId="2" fillId="0" borderId="0" xfId="0" applyFont="1"/>
    <xf numFmtId="0" fontId="0" fillId="0" borderId="0" xfId="0" applyBorder="1"/>
    <xf numFmtId="0" fontId="1" fillId="0" borderId="0" xfId="0" applyFont="1" applyBorder="1"/>
    <xf numFmtId="0" fontId="0" fillId="0" borderId="0" xfId="0" applyFill="1"/>
    <xf numFmtId="0" fontId="0" fillId="0" borderId="0" xfId="0" applyFill="1" applyBorder="1"/>
    <xf numFmtId="0" fontId="1" fillId="0" borderId="0" xfId="0" applyFont="1" applyFill="1" applyBorder="1"/>
    <xf numFmtId="4" fontId="0" fillId="0" borderId="0" xfId="0" applyNumberFormat="1" applyFill="1"/>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1" fillId="0" borderId="15" xfId="0" applyFont="1" applyBorder="1"/>
    <xf numFmtId="0" fontId="0" fillId="0" borderId="16" xfId="0" applyBorder="1"/>
    <xf numFmtId="0" fontId="3" fillId="0" borderId="0" xfId="0" applyFont="1" applyFill="1" applyBorder="1" applyAlignment="1">
      <alignment horizontal="left" vertical="center"/>
    </xf>
    <xf numFmtId="0" fontId="0" fillId="0" borderId="0" xfId="0" applyFont="1" applyFill="1" applyBorder="1"/>
    <xf numFmtId="0" fontId="0" fillId="0" borderId="8" xfId="0" applyBorder="1"/>
    <xf numFmtId="0" fontId="0" fillId="0" borderId="15" xfId="0" applyBorder="1"/>
    <xf numFmtId="3" fontId="6" fillId="0" borderId="35" xfId="0" applyNumberFormat="1" applyFont="1" applyBorder="1" applyAlignment="1">
      <alignment horizontal="justify" vertical="center" wrapText="1"/>
    </xf>
    <xf numFmtId="0" fontId="6" fillId="0" borderId="36" xfId="0" applyFont="1" applyBorder="1" applyAlignment="1">
      <alignment horizontal="justify" vertical="center" wrapText="1"/>
    </xf>
    <xf numFmtId="3" fontId="6" fillId="0" borderId="37" xfId="0" applyNumberFormat="1" applyFont="1" applyBorder="1" applyAlignment="1">
      <alignment horizontal="justify" vertical="center" wrapText="1"/>
    </xf>
    <xf numFmtId="0" fontId="6" fillId="0" borderId="35" xfId="0" applyFont="1" applyBorder="1" applyAlignment="1">
      <alignment horizontal="justify" vertical="center" wrapText="1"/>
    </xf>
    <xf numFmtId="0" fontId="6" fillId="0" borderId="37" xfId="0" applyFont="1" applyBorder="1" applyAlignment="1">
      <alignment horizontal="justify" vertical="center" wrapText="1"/>
    </xf>
    <xf numFmtId="0" fontId="5" fillId="0" borderId="39" xfId="0" applyFont="1" applyBorder="1" applyAlignment="1">
      <alignment horizontal="justify"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5" fillId="5" borderId="41" xfId="0" applyFont="1" applyFill="1" applyBorder="1" applyAlignment="1">
      <alignment horizontal="justify" vertical="center" wrapText="1"/>
    </xf>
    <xf numFmtId="0" fontId="11" fillId="0" borderId="43" xfId="0" applyFont="1" applyBorder="1" applyAlignment="1">
      <alignment horizontal="center" vertical="center" wrapText="1"/>
    </xf>
    <xf numFmtId="0" fontId="6" fillId="5" borderId="15" xfId="0" applyFont="1" applyFill="1" applyBorder="1" applyAlignment="1">
      <alignment horizontal="justify" vertical="center" wrapText="1"/>
    </xf>
    <xf numFmtId="0" fontId="6" fillId="0" borderId="0" xfId="0" applyFont="1" applyBorder="1" applyAlignment="1">
      <alignment horizontal="justify" vertical="center" wrapText="1"/>
    </xf>
    <xf numFmtId="0" fontId="5" fillId="5" borderId="15" xfId="0" applyFont="1" applyFill="1" applyBorder="1" applyAlignment="1">
      <alignment horizontal="justify" vertical="center" wrapText="1"/>
    </xf>
    <xf numFmtId="0" fontId="6" fillId="5" borderId="41" xfId="0" applyFont="1" applyFill="1" applyBorder="1" applyAlignment="1">
      <alignment horizontal="justify" vertical="center" wrapText="1"/>
    </xf>
    <xf numFmtId="3" fontId="6" fillId="0" borderId="43" xfId="0" applyNumberFormat="1" applyFont="1" applyBorder="1" applyAlignment="1">
      <alignment horizontal="justify" vertical="center" wrapText="1"/>
    </xf>
    <xf numFmtId="3" fontId="6" fillId="0" borderId="51" xfId="0" applyNumberFormat="1" applyFont="1" applyBorder="1" applyAlignment="1">
      <alignment horizontal="justify" vertical="center" wrapText="1"/>
    </xf>
    <xf numFmtId="0" fontId="6" fillId="0" borderId="43" xfId="0" applyFont="1" applyBorder="1" applyAlignment="1">
      <alignment horizontal="justify" vertical="center" wrapText="1"/>
    </xf>
    <xf numFmtId="3" fontId="5" fillId="0" borderId="53" xfId="0" applyNumberFormat="1" applyFont="1" applyBorder="1" applyAlignment="1">
      <alignment horizontal="justify" vertical="center" wrapText="1"/>
    </xf>
    <xf numFmtId="3" fontId="5" fillId="0" borderId="37" xfId="0" applyNumberFormat="1" applyFont="1" applyBorder="1" applyAlignment="1">
      <alignment horizontal="justify" vertical="center" wrapText="1"/>
    </xf>
    <xf numFmtId="3" fontId="6" fillId="0" borderId="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0" xfId="0" applyFont="1" applyFill="1" applyBorder="1" applyAlignment="1">
      <alignment vertical="center" wrapText="1"/>
    </xf>
    <xf numFmtId="0" fontId="14" fillId="0" borderId="3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8" fillId="5" borderId="40" xfId="0" applyFont="1" applyFill="1" applyBorder="1" applyAlignment="1">
      <alignment horizontal="center" vertical="center" wrapText="1"/>
    </xf>
    <xf numFmtId="0" fontId="8" fillId="5" borderId="33" xfId="0" applyFont="1" applyFill="1" applyBorder="1" applyAlignment="1">
      <alignment horizontal="center" vertical="center" wrapText="1"/>
    </xf>
    <xf numFmtId="44" fontId="1" fillId="0" borderId="57" xfId="0" applyNumberFormat="1" applyFont="1" applyBorder="1" applyAlignment="1">
      <alignment horizontal="center"/>
    </xf>
    <xf numFmtId="0" fontId="14" fillId="0" borderId="62"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62" xfId="0" applyFont="1" applyFill="1" applyBorder="1" applyAlignment="1">
      <alignment horizontal="center" vertical="center" wrapText="1"/>
    </xf>
    <xf numFmtId="44" fontId="1" fillId="0" borderId="64" xfId="0" applyNumberFormat="1" applyFont="1" applyBorder="1" applyAlignment="1">
      <alignment horizontal="center"/>
    </xf>
    <xf numFmtId="3" fontId="5" fillId="0" borderId="73" xfId="0" applyNumberFormat="1" applyFont="1" applyBorder="1" applyAlignment="1">
      <alignment horizontal="justify" vertical="center" wrapText="1"/>
    </xf>
    <xf numFmtId="0" fontId="5" fillId="0" borderId="74" xfId="0" applyFont="1" applyBorder="1" applyAlignment="1">
      <alignment horizontal="justify" vertical="center" wrapText="1"/>
    </xf>
    <xf numFmtId="0" fontId="5" fillId="0" borderId="73" xfId="0" applyFont="1" applyBorder="1" applyAlignment="1">
      <alignment horizontal="justify" vertical="center" wrapText="1"/>
    </xf>
    <xf numFmtId="3" fontId="5" fillId="0" borderId="74" xfId="0" applyNumberFormat="1" applyFont="1" applyBorder="1" applyAlignment="1">
      <alignment horizontal="center" vertical="center" wrapText="1"/>
    </xf>
    <xf numFmtId="0" fontId="5" fillId="5" borderId="75" xfId="0" applyFont="1" applyFill="1" applyBorder="1" applyAlignment="1">
      <alignment horizontal="justify" vertical="center" wrapText="1"/>
    </xf>
    <xf numFmtId="3" fontId="5" fillId="0" borderId="76" xfId="0" applyNumberFormat="1" applyFont="1" applyBorder="1" applyAlignment="1">
      <alignment horizontal="center" vertical="center" wrapText="1"/>
    </xf>
    <xf numFmtId="167" fontId="0" fillId="0" borderId="0" xfId="0" applyNumberFormat="1"/>
    <xf numFmtId="0" fontId="1" fillId="0" borderId="44" xfId="0" applyFont="1" applyBorder="1"/>
    <xf numFmtId="0" fontId="0" fillId="0" borderId="45" xfId="0" applyBorder="1"/>
    <xf numFmtId="0" fontId="0" fillId="0" borderId="46" xfId="0" applyBorder="1"/>
    <xf numFmtId="44" fontId="17" fillId="0" borderId="13" xfId="0" applyNumberFormat="1" applyFont="1" applyBorder="1"/>
    <xf numFmtId="3" fontId="19" fillId="0" borderId="68"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44" fontId="17" fillId="0" borderId="59" xfId="0" applyNumberFormat="1" applyFont="1" applyBorder="1"/>
    <xf numFmtId="44" fontId="17" fillId="0" borderId="65" xfId="0" applyNumberFormat="1" applyFont="1" applyBorder="1"/>
    <xf numFmtId="44" fontId="17" fillId="0" borderId="69" xfId="0" applyNumberFormat="1" applyFont="1" applyBorder="1"/>
    <xf numFmtId="44" fontId="17" fillId="0" borderId="70" xfId="0" applyNumberFormat="1" applyFont="1" applyBorder="1"/>
    <xf numFmtId="0" fontId="20" fillId="0" borderId="21" xfId="0" applyFont="1" applyFill="1" applyBorder="1" applyAlignment="1">
      <alignment horizontal="justify" vertical="center" wrapText="1"/>
    </xf>
    <xf numFmtId="3" fontId="20" fillId="0" borderId="21" xfId="0" applyNumberFormat="1" applyFont="1" applyFill="1" applyBorder="1"/>
    <xf numFmtId="10" fontId="17" fillId="0" borderId="0" xfId="0" applyNumberFormat="1" applyFont="1" applyBorder="1"/>
    <xf numFmtId="0" fontId="17" fillId="0" borderId="0" xfId="0" applyFont="1" applyBorder="1"/>
    <xf numFmtId="0" fontId="0" fillId="0" borderId="0" xfId="0" applyFont="1" applyBorder="1"/>
    <xf numFmtId="0" fontId="4" fillId="0" borderId="0" xfId="0" applyFont="1" applyAlignment="1">
      <alignment vertical="center"/>
    </xf>
    <xf numFmtId="0" fontId="8" fillId="0" borderId="0" xfId="0" applyFont="1" applyBorder="1" applyAlignment="1">
      <alignment vertical="center" wrapText="1"/>
    </xf>
    <xf numFmtId="0" fontId="0" fillId="6" borderId="0" xfId="0" applyFill="1" applyBorder="1"/>
    <xf numFmtId="0" fontId="22" fillId="0" borderId="0" xfId="0" applyFont="1" applyBorder="1"/>
    <xf numFmtId="10" fontId="0" fillId="6" borderId="0" xfId="0" applyNumberFormat="1" applyFill="1" applyBorder="1"/>
    <xf numFmtId="10" fontId="23" fillId="0" borderId="0" xfId="0" applyNumberFormat="1" applyFont="1" applyBorder="1"/>
    <xf numFmtId="44" fontId="0" fillId="6" borderId="9" xfId="0" applyNumberFormat="1" applyFill="1" applyBorder="1"/>
    <xf numFmtId="8" fontId="23" fillId="0" borderId="11" xfId="0" applyNumberFormat="1" applyFont="1" applyBorder="1"/>
    <xf numFmtId="0" fontId="0" fillId="0" borderId="13" xfId="0" applyBorder="1" applyAlignment="1">
      <alignment wrapText="1"/>
    </xf>
    <xf numFmtId="10" fontId="24" fillId="0" borderId="14" xfId="0" applyNumberFormat="1" applyFont="1" applyBorder="1"/>
    <xf numFmtId="10" fontId="25" fillId="0" borderId="13" xfId="0" applyNumberFormat="1" applyFont="1" applyBorder="1"/>
    <xf numFmtId="8" fontId="26" fillId="0" borderId="11" xfId="0" applyNumberFormat="1" applyFont="1" applyBorder="1"/>
    <xf numFmtId="0" fontId="0" fillId="0" borderId="16" xfId="0" applyBorder="1" applyAlignment="1">
      <alignment horizontal="center" wrapText="1"/>
    </xf>
    <xf numFmtId="0" fontId="0" fillId="0" borderId="15" xfId="0" applyBorder="1" applyAlignment="1">
      <alignment horizontal="left" wrapText="1"/>
    </xf>
    <xf numFmtId="0" fontId="17" fillId="6" borderId="0" xfId="0" applyFont="1" applyFill="1" applyBorder="1"/>
    <xf numFmtId="8" fontId="0" fillId="0" borderId="0" xfId="0" applyNumberFormat="1"/>
    <xf numFmtId="0" fontId="27" fillId="0" borderId="0" xfId="0" applyFont="1" applyAlignment="1">
      <alignment vertical="center" wrapText="1"/>
    </xf>
    <xf numFmtId="3" fontId="0" fillId="0" borderId="0" xfId="0" applyNumberFormat="1"/>
    <xf numFmtId="0" fontId="29" fillId="0" borderId="78" xfId="0" applyFont="1" applyBorder="1" applyAlignment="1">
      <alignment vertical="center" wrapText="1"/>
    </xf>
    <xf numFmtId="0" fontId="30" fillId="0" borderId="79" xfId="0" applyFont="1" applyBorder="1" applyAlignment="1">
      <alignment vertical="center" wrapText="1"/>
    </xf>
    <xf numFmtId="0" fontId="31" fillId="0" borderId="79" xfId="0" applyFont="1" applyBorder="1" applyAlignment="1">
      <alignment vertical="center" wrapText="1"/>
    </xf>
    <xf numFmtId="0" fontId="29" fillId="8" borderId="78" xfId="0" applyFont="1" applyFill="1" applyBorder="1" applyAlignment="1">
      <alignment vertical="center" wrapText="1"/>
    </xf>
    <xf numFmtId="3" fontId="30" fillId="8" borderId="79" xfId="0" applyNumberFormat="1" applyFont="1" applyFill="1" applyBorder="1" applyAlignment="1">
      <alignment vertical="center" wrapText="1"/>
    </xf>
    <xf numFmtId="0" fontId="31" fillId="8" borderId="79" xfId="0" applyFont="1" applyFill="1" applyBorder="1" applyAlignment="1">
      <alignment vertical="center" wrapText="1"/>
    </xf>
    <xf numFmtId="3" fontId="30" fillId="0" borderId="79" xfId="0" applyNumberFormat="1" applyFont="1" applyBorder="1" applyAlignment="1">
      <alignment vertical="center" wrapText="1"/>
    </xf>
    <xf numFmtId="165" fontId="30" fillId="0" borderId="79" xfId="0" applyNumberFormat="1" applyFont="1" applyBorder="1" applyAlignment="1">
      <alignment vertical="center" wrapText="1"/>
    </xf>
    <xf numFmtId="165" fontId="30" fillId="8" borderId="79" xfId="0" applyNumberFormat="1" applyFont="1" applyFill="1" applyBorder="1" applyAlignment="1">
      <alignment vertical="center" wrapText="1"/>
    </xf>
    <xf numFmtId="165" fontId="32" fillId="0" borderId="79" xfId="0" applyNumberFormat="1" applyFont="1" applyBorder="1" applyAlignment="1">
      <alignment vertical="center" wrapText="1"/>
    </xf>
    <xf numFmtId="165" fontId="32" fillId="0" borderId="79" xfId="0" applyNumberFormat="1" applyFont="1" applyBorder="1" applyAlignment="1">
      <alignment horizontal="center" vertical="center" wrapText="1"/>
    </xf>
    <xf numFmtId="165" fontId="33" fillId="8" borderId="79" xfId="0" applyNumberFormat="1" applyFont="1" applyFill="1" applyBorder="1" applyAlignment="1">
      <alignment vertical="center" wrapText="1"/>
    </xf>
    <xf numFmtId="165" fontId="32" fillId="8" borderId="79" xfId="0" applyNumberFormat="1" applyFont="1" applyFill="1" applyBorder="1" applyAlignment="1">
      <alignment vertical="center" wrapText="1"/>
    </xf>
    <xf numFmtId="165" fontId="6" fillId="0" borderId="79" xfId="0" applyNumberFormat="1" applyFont="1" applyBorder="1" applyAlignment="1">
      <alignment vertical="center" wrapText="1"/>
    </xf>
    <xf numFmtId="0" fontId="36" fillId="7" borderId="40" xfId="0" applyFont="1" applyFill="1" applyBorder="1" applyAlignment="1">
      <alignment horizontal="center" vertical="center" wrapText="1"/>
    </xf>
    <xf numFmtId="0" fontId="36" fillId="7" borderId="79" xfId="0" applyFont="1" applyFill="1" applyBorder="1" applyAlignment="1">
      <alignment horizontal="center" vertical="center" wrapText="1"/>
    </xf>
    <xf numFmtId="168" fontId="0" fillId="0" borderId="0" xfId="0" applyNumberFormat="1"/>
    <xf numFmtId="0" fontId="38" fillId="0" borderId="0" xfId="1" applyFont="1"/>
    <xf numFmtId="0" fontId="34" fillId="7" borderId="57" xfId="0" applyFont="1" applyFill="1" applyBorder="1" applyAlignment="1">
      <alignment horizontal="center" vertical="center" wrapText="1"/>
    </xf>
    <xf numFmtId="0" fontId="28" fillId="0" borderId="57" xfId="0" applyFont="1" applyBorder="1" applyAlignment="1">
      <alignment vertical="center" wrapText="1"/>
    </xf>
    <xf numFmtId="14" fontId="28" fillId="0" borderId="57" xfId="0" applyNumberFormat="1" applyFont="1" applyBorder="1" applyAlignment="1">
      <alignment vertical="center" wrapText="1"/>
    </xf>
    <xf numFmtId="0" fontId="28" fillId="0" borderId="57" xfId="0" applyFont="1" applyBorder="1" applyAlignment="1">
      <alignment horizontal="center"/>
    </xf>
    <xf numFmtId="44" fontId="28" fillId="0" borderId="57" xfId="0" applyNumberFormat="1" applyFont="1" applyBorder="1" applyAlignment="1">
      <alignment horizontal="center"/>
    </xf>
    <xf numFmtId="42" fontId="28" fillId="0" borderId="57" xfId="0" applyNumberFormat="1" applyFont="1" applyBorder="1" applyAlignment="1">
      <alignment horizontal="center"/>
    </xf>
    <xf numFmtId="44"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14" fontId="5" fillId="0" borderId="0" xfId="0" applyNumberFormat="1" applyFont="1" applyBorder="1" applyAlignment="1">
      <alignment horizontal="left" vertical="center" wrapText="1"/>
    </xf>
    <xf numFmtId="0" fontId="0" fillId="0" borderId="0" xfId="0" applyFont="1" applyAlignment="1">
      <alignment horizontal="left"/>
    </xf>
    <xf numFmtId="0" fontId="5" fillId="0" borderId="0" xfId="0" applyFont="1" applyBorder="1" applyAlignment="1">
      <alignment horizontal="left"/>
    </xf>
    <xf numFmtId="10" fontId="5" fillId="0" borderId="0" xfId="0" applyNumberFormat="1" applyFont="1" applyBorder="1" applyAlignment="1">
      <alignment horizontal="left" vertical="center" wrapText="1"/>
    </xf>
    <xf numFmtId="0" fontId="8" fillId="0" borderId="0" xfId="0" applyFont="1" applyBorder="1" applyAlignment="1">
      <alignment horizontal="left" wrapText="1"/>
    </xf>
    <xf numFmtId="0" fontId="20" fillId="0" borderId="11" xfId="0" applyFont="1" applyBorder="1" applyAlignment="1">
      <alignment horizontal="left" wrapText="1"/>
    </xf>
    <xf numFmtId="2" fontId="20" fillId="0" borderId="14" xfId="0" applyNumberFormat="1" applyFont="1" applyBorder="1" applyAlignment="1">
      <alignment horizontal="left" wrapText="1"/>
    </xf>
    <xf numFmtId="0" fontId="0" fillId="0" borderId="0" xfId="0" applyAlignment="1"/>
    <xf numFmtId="0" fontId="0" fillId="0" borderId="0" xfId="0" applyFill="1" applyBorder="1" applyAlignment="1"/>
    <xf numFmtId="0" fontId="5" fillId="0" borderId="44" xfId="0" applyFont="1" applyBorder="1"/>
    <xf numFmtId="0" fontId="6" fillId="0" borderId="45" xfId="0" applyFont="1" applyBorder="1"/>
    <xf numFmtId="0" fontId="6" fillId="0" borderId="46" xfId="0" applyFont="1" applyBorder="1"/>
    <xf numFmtId="0" fontId="5" fillId="0" borderId="0" xfId="0" applyFont="1" applyFill="1" applyBorder="1" applyAlignment="1">
      <alignment wrapText="1"/>
    </xf>
    <xf numFmtId="0" fontId="6" fillId="0" borderId="0" xfId="0" applyFont="1"/>
    <xf numFmtId="0" fontId="41" fillId="0" borderId="8" xfId="0" applyFont="1" applyBorder="1" applyAlignment="1">
      <alignment horizontal="center"/>
    </xf>
    <xf numFmtId="0" fontId="42" fillId="0" borderId="9" xfId="0" applyFont="1" applyBorder="1"/>
    <xf numFmtId="0" fontId="42" fillId="0" borderId="10" xfId="0" applyFont="1" applyBorder="1"/>
    <xf numFmtId="0" fontId="42" fillId="0" borderId="0" xfId="0" applyFont="1" applyBorder="1"/>
    <xf numFmtId="0" fontId="6" fillId="0" borderId="0" xfId="0" applyFont="1" applyBorder="1"/>
    <xf numFmtId="14" fontId="6" fillId="0" borderId="15" xfId="0" applyNumberFormat="1" applyFont="1" applyFill="1" applyBorder="1" applyAlignment="1">
      <alignment horizontal="center"/>
    </xf>
    <xf numFmtId="0" fontId="5" fillId="0" borderId="0" xfId="0" applyFont="1" applyFill="1" applyBorder="1"/>
    <xf numFmtId="0" fontId="6" fillId="0" borderId="11" xfId="0" applyFont="1" applyBorder="1"/>
    <xf numFmtId="14" fontId="6" fillId="0" borderId="16" xfId="0" applyNumberFormat="1" applyFont="1" applyFill="1" applyBorder="1" applyAlignment="1">
      <alignment horizontal="center"/>
    </xf>
    <xf numFmtId="14" fontId="6" fillId="0" borderId="13" xfId="0" applyNumberFormat="1" applyFont="1" applyFill="1" applyBorder="1"/>
    <xf numFmtId="0" fontId="6" fillId="0" borderId="14" xfId="0" applyFont="1" applyBorder="1"/>
    <xf numFmtId="0" fontId="19" fillId="0" borderId="15" xfId="0" applyFont="1" applyBorder="1"/>
    <xf numFmtId="0" fontId="19" fillId="0" borderId="0" xfId="0" applyFont="1" applyBorder="1"/>
    <xf numFmtId="14" fontId="19" fillId="0" borderId="0" xfId="0" applyNumberFormat="1" applyFont="1" applyFill="1" applyBorder="1" applyAlignment="1">
      <alignment horizontal="center"/>
    </xf>
    <xf numFmtId="0" fontId="19" fillId="0" borderId="0" xfId="0" applyFont="1" applyFill="1" applyBorder="1"/>
    <xf numFmtId="14" fontId="19" fillId="0" borderId="0" xfId="0" applyNumberFormat="1" applyFont="1" applyFill="1" applyBorder="1"/>
    <xf numFmtId="0" fontId="6" fillId="0" borderId="15" xfId="0" applyFont="1" applyBorder="1"/>
    <xf numFmtId="14" fontId="6" fillId="0" borderId="0" xfId="0" applyNumberFormat="1" applyFont="1" applyFill="1" applyBorder="1" applyAlignment="1">
      <alignment horizontal="center"/>
    </xf>
    <xf numFmtId="14" fontId="6" fillId="0" borderId="0" xfId="0" applyNumberFormat="1" applyFont="1" applyFill="1" applyBorder="1"/>
    <xf numFmtId="0" fontId="19" fillId="0" borderId="16" xfId="0" applyFont="1" applyBorder="1"/>
    <xf numFmtId="0" fontId="19" fillId="0" borderId="13" xfId="0" applyFont="1" applyBorder="1"/>
    <xf numFmtId="44" fontId="19" fillId="0" borderId="13" xfId="0" applyNumberFormat="1" applyFont="1" applyBorder="1"/>
    <xf numFmtId="0" fontId="6" fillId="0" borderId="13" xfId="0" applyFont="1" applyBorder="1"/>
    <xf numFmtId="0" fontId="19" fillId="0" borderId="8" xfId="0" applyFont="1" applyBorder="1"/>
    <xf numFmtId="0" fontId="40" fillId="0" borderId="0" xfId="0" applyFont="1" applyBorder="1"/>
    <xf numFmtId="0" fontId="6" fillId="0" borderId="10" xfId="0" applyFont="1" applyBorder="1"/>
    <xf numFmtId="0" fontId="41" fillId="0" borderId="15" xfId="0" applyFont="1" applyBorder="1"/>
    <xf numFmtId="0" fontId="43" fillId="0" borderId="0" xfId="0" applyFont="1" applyBorder="1"/>
    <xf numFmtId="14" fontId="41" fillId="0" borderId="0" xfId="0" applyNumberFormat="1" applyFont="1" applyFill="1" applyBorder="1" applyAlignment="1">
      <alignment horizontal="center"/>
    </xf>
    <xf numFmtId="14" fontId="43" fillId="0" borderId="0" xfId="0" applyNumberFormat="1" applyFont="1" applyFill="1" applyBorder="1"/>
    <xf numFmtId="0" fontId="5" fillId="0" borderId="11" xfId="0" applyFont="1" applyBorder="1" applyAlignment="1">
      <alignment horizontal="center"/>
    </xf>
    <xf numFmtId="0" fontId="41" fillId="0" borderId="0" xfId="0" applyFont="1" applyFill="1" applyBorder="1" applyAlignment="1">
      <alignment horizontal="center"/>
    </xf>
    <xf numFmtId="0" fontId="5" fillId="0" borderId="15" xfId="0" applyFont="1" applyBorder="1"/>
    <xf numFmtId="0" fontId="5" fillId="0" borderId="0" xfId="0" applyFont="1" applyBorder="1"/>
    <xf numFmtId="1" fontId="5" fillId="0" borderId="0" xfId="0" applyNumberFormat="1" applyFont="1" applyFill="1" applyBorder="1" applyAlignment="1">
      <alignment horizontal="center"/>
    </xf>
    <xf numFmtId="14" fontId="5" fillId="0" borderId="0" xfId="0" applyNumberFormat="1" applyFont="1" applyFill="1" applyBorder="1"/>
    <xf numFmtId="0" fontId="41" fillId="0" borderId="0" xfId="0" applyFont="1" applyBorder="1"/>
    <xf numFmtId="1" fontId="41" fillId="0" borderId="0" xfId="0" applyNumberFormat="1" applyFont="1" applyFill="1" applyBorder="1" applyAlignment="1">
      <alignment horizontal="center"/>
    </xf>
    <xf numFmtId="0" fontId="6" fillId="0" borderId="8" xfId="0" applyFont="1" applyBorder="1"/>
    <xf numFmtId="0" fontId="6" fillId="0" borderId="9" xfId="0" applyFont="1" applyBorder="1"/>
    <xf numFmtId="0" fontId="19" fillId="0" borderId="0" xfId="0" applyFont="1" applyBorder="1" applyAlignment="1">
      <alignment horizontal="right"/>
    </xf>
    <xf numFmtId="44" fontId="19" fillId="0" borderId="0" xfId="0" applyNumberFormat="1" applyFont="1" applyBorder="1"/>
    <xf numFmtId="0" fontId="19" fillId="9" borderId="16" xfId="0" applyFont="1" applyFill="1" applyBorder="1"/>
    <xf numFmtId="0" fontId="19" fillId="9" borderId="13" xfId="0" applyFont="1" applyFill="1" applyBorder="1" applyAlignment="1">
      <alignment horizontal="right"/>
    </xf>
    <xf numFmtId="44" fontId="19" fillId="9" borderId="13" xfId="0" applyNumberFormat="1" applyFont="1" applyFill="1" applyBorder="1"/>
    <xf numFmtId="0" fontId="19" fillId="9" borderId="13" xfId="0" applyFont="1" applyFill="1" applyBorder="1"/>
    <xf numFmtId="0" fontId="6" fillId="9" borderId="13" xfId="0" applyFont="1" applyFill="1" applyBorder="1"/>
    <xf numFmtId="0" fontId="6" fillId="9" borderId="14" xfId="0" applyFont="1" applyFill="1" applyBorder="1"/>
    <xf numFmtId="0" fontId="41" fillId="0" borderId="8" xfId="0" applyFont="1" applyBorder="1"/>
    <xf numFmtId="0" fontId="41" fillId="0" borderId="9" xfId="0" applyFont="1" applyBorder="1"/>
    <xf numFmtId="10" fontId="5" fillId="0" borderId="0" xfId="0" applyNumberFormat="1" applyFont="1" applyBorder="1"/>
    <xf numFmtId="10" fontId="19" fillId="0" borderId="0" xfId="0" applyNumberFormat="1" applyFont="1" applyBorder="1"/>
    <xf numFmtId="14" fontId="41" fillId="0" borderId="9" xfId="0" applyNumberFormat="1" applyFont="1" applyFill="1" applyBorder="1" applyAlignment="1">
      <alignment horizontal="left"/>
    </xf>
    <xf numFmtId="14" fontId="41" fillId="0" borderId="9" xfId="0" applyNumberFormat="1" applyFont="1" applyFill="1" applyBorder="1" applyAlignment="1">
      <alignment horizontal="right"/>
    </xf>
    <xf numFmtId="10" fontId="41" fillId="0" borderId="9" xfId="0" applyNumberFormat="1" applyFont="1" applyBorder="1"/>
    <xf numFmtId="0" fontId="40" fillId="0" borderId="9" xfId="0" applyFont="1" applyBorder="1"/>
    <xf numFmtId="10" fontId="41" fillId="0" borderId="10" xfId="0" applyNumberFormat="1" applyFont="1" applyBorder="1"/>
    <xf numFmtId="10" fontId="5" fillId="0" borderId="11" xfId="0" applyNumberFormat="1" applyFont="1" applyBorder="1"/>
    <xf numFmtId="10" fontId="19" fillId="0" borderId="11" xfId="0" applyNumberFormat="1" applyFont="1" applyBorder="1"/>
    <xf numFmtId="0" fontId="41" fillId="0" borderId="13" xfId="0" applyFont="1" applyBorder="1"/>
    <xf numFmtId="14" fontId="41" fillId="0" borderId="13" xfId="0" applyNumberFormat="1" applyFont="1" applyFill="1" applyBorder="1" applyAlignment="1">
      <alignment horizontal="center"/>
    </xf>
    <xf numFmtId="1" fontId="41" fillId="0" borderId="13" xfId="0" applyNumberFormat="1" applyFont="1" applyFill="1" applyBorder="1" applyAlignment="1">
      <alignment horizontal="center"/>
    </xf>
    <xf numFmtId="10" fontId="19" fillId="0" borderId="14" xfId="0" applyNumberFormat="1" applyFont="1" applyBorder="1"/>
    <xf numFmtId="14" fontId="19" fillId="0" borderId="9" xfId="0" applyNumberFormat="1" applyFont="1" applyFill="1" applyBorder="1" applyAlignment="1">
      <alignment horizontal="center"/>
    </xf>
    <xf numFmtId="0" fontId="5" fillId="0" borderId="22" xfId="0" applyFont="1" applyBorder="1" applyAlignment="1">
      <alignment horizontal="center"/>
    </xf>
    <xf numFmtId="0" fontId="5" fillId="0" borderId="1"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0" fontId="6" fillId="0" borderId="2" xfId="0" applyFont="1" applyBorder="1" applyAlignment="1">
      <alignment horizontal="center"/>
    </xf>
    <xf numFmtId="0" fontId="5"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19" fillId="0" borderId="25" xfId="0" applyFont="1" applyFill="1" applyBorder="1" applyAlignment="1">
      <alignment horizontal="center" wrapText="1"/>
    </xf>
    <xf numFmtId="10" fontId="19" fillId="0" borderId="26" xfId="0" applyNumberFormat="1" applyFont="1" applyFill="1" applyBorder="1" applyAlignment="1">
      <alignment horizontal="center"/>
    </xf>
    <xf numFmtId="10" fontId="42" fillId="0" borderId="26" xfId="0" applyNumberFormat="1" applyFont="1" applyFill="1" applyBorder="1" applyAlignment="1">
      <alignment horizontal="center"/>
    </xf>
    <xf numFmtId="0" fontId="5" fillId="0" borderId="28" xfId="0" applyFont="1" applyBorder="1" applyAlignment="1">
      <alignment horizontal="center"/>
    </xf>
    <xf numFmtId="0" fontId="6" fillId="0" borderId="31" xfId="0" applyFont="1" applyBorder="1"/>
    <xf numFmtId="0" fontId="5" fillId="0" borderId="22" xfId="0" applyFont="1" applyBorder="1" applyAlignment="1">
      <alignment horizontal="center" vertical="center"/>
    </xf>
    <xf numFmtId="9" fontId="5" fillId="0" borderId="1"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1" xfId="0" applyFont="1" applyBorder="1" applyAlignment="1">
      <alignment horizontal="center" vertical="center"/>
    </xf>
    <xf numFmtId="0" fontId="6" fillId="0" borderId="18" xfId="0" applyFont="1" applyBorder="1" applyAlignment="1">
      <alignment horizontal="left" vertical="center"/>
    </xf>
    <xf numFmtId="0" fontId="6" fillId="0" borderId="5" xfId="0" applyFont="1" applyBorder="1"/>
    <xf numFmtId="0" fontId="6" fillId="0" borderId="19" xfId="0" applyFont="1" applyBorder="1"/>
    <xf numFmtId="0" fontId="19" fillId="0" borderId="24" xfId="0" applyFont="1" applyBorder="1" applyAlignment="1">
      <alignment horizontal="center" vertical="center" wrapText="1"/>
    </xf>
    <xf numFmtId="0" fontId="19" fillId="0" borderId="25" xfId="0" applyFont="1" applyBorder="1" applyAlignment="1">
      <alignment horizontal="center" vertical="center"/>
    </xf>
    <xf numFmtId="0" fontId="19" fillId="0" borderId="13" xfId="0" applyFont="1" applyFill="1" applyBorder="1" applyAlignment="1">
      <alignment vertical="center"/>
    </xf>
    <xf numFmtId="0" fontId="6" fillId="0" borderId="13" xfId="0" applyFont="1" applyFill="1" applyBorder="1"/>
    <xf numFmtId="0" fontId="6" fillId="0" borderId="14" xfId="0" applyFont="1" applyFill="1" applyBorder="1"/>
    <xf numFmtId="0" fontId="6" fillId="0" borderId="0" xfId="0" applyFont="1" applyFill="1" applyBorder="1"/>
    <xf numFmtId="0" fontId="5" fillId="0" borderId="80" xfId="0" applyFont="1" applyFill="1" applyBorder="1" applyAlignment="1">
      <alignment horizontal="center"/>
    </xf>
    <xf numFmtId="0" fontId="5" fillId="0" borderId="81" xfId="0" applyFont="1" applyFill="1" applyBorder="1" applyAlignment="1">
      <alignment horizontal="center"/>
    </xf>
    <xf numFmtId="0" fontId="5" fillId="0" borderId="24" xfId="0" applyFont="1" applyFill="1" applyBorder="1" applyAlignment="1">
      <alignment horizontal="center"/>
    </xf>
    <xf numFmtId="0" fontId="5" fillId="0" borderId="8" xfId="0" applyFont="1" applyBorder="1" applyAlignment="1"/>
    <xf numFmtId="0" fontId="5" fillId="0" borderId="9" xfId="0" applyFont="1" applyBorder="1" applyAlignment="1"/>
    <xf numFmtId="0" fontId="5" fillId="0" borderId="15" xfId="0" applyFont="1" applyBorder="1" applyAlignment="1"/>
    <xf numFmtId="0" fontId="5" fillId="0" borderId="0" xfId="0" applyFont="1" applyBorder="1" applyAlignment="1"/>
    <xf numFmtId="0" fontId="5" fillId="0" borderId="44" xfId="0" applyFont="1" applyBorder="1" applyAlignment="1"/>
    <xf numFmtId="0" fontId="5" fillId="0" borderId="45" xfId="0" applyFont="1" applyBorder="1" applyAlignment="1"/>
    <xf numFmtId="0" fontId="5" fillId="0" borderId="46" xfId="0" applyFont="1" applyBorder="1" applyAlignment="1"/>
    <xf numFmtId="0" fontId="8" fillId="0" borderId="15" xfId="0" applyFont="1" applyBorder="1"/>
    <xf numFmtId="0" fontId="8" fillId="0" borderId="0" xfId="0" applyFont="1" applyBorder="1"/>
    <xf numFmtId="0" fontId="8" fillId="0" borderId="11" xfId="0" applyFont="1" applyBorder="1"/>
    <xf numFmtId="0" fontId="8" fillId="0" borderId="14" xfId="0" applyFont="1" applyBorder="1"/>
    <xf numFmtId="0" fontId="20" fillId="0" borderId="16" xfId="0" applyFont="1" applyBorder="1"/>
    <xf numFmtId="0" fontId="20" fillId="0" borderId="13" xfId="0" applyFont="1" applyBorder="1"/>
    <xf numFmtId="2" fontId="20" fillId="0" borderId="13" xfId="0" applyNumberFormat="1" applyFont="1" applyBorder="1"/>
    <xf numFmtId="0" fontId="8" fillId="0" borderId="0" xfId="0" applyFont="1" applyBorder="1" applyAlignment="1"/>
    <xf numFmtId="0" fontId="44" fillId="0" borderId="15" xfId="0" applyFont="1" applyBorder="1" applyAlignment="1">
      <alignment horizontal="left" vertical="center"/>
    </xf>
    <xf numFmtId="0" fontId="20" fillId="0" borderId="0" xfId="0" applyFont="1" applyBorder="1"/>
    <xf numFmtId="2" fontId="20" fillId="0" borderId="0" xfId="0" applyNumberFormat="1" applyFont="1" applyBorder="1"/>
    <xf numFmtId="0" fontId="20" fillId="0" borderId="16" xfId="0" applyFont="1" applyFill="1" applyBorder="1" applyAlignment="1">
      <alignment horizontal="left" vertical="center"/>
    </xf>
    <xf numFmtId="0" fontId="19" fillId="0" borderId="13" xfId="0" applyFont="1" applyBorder="1" applyAlignment="1">
      <alignment horizontal="right"/>
    </xf>
    <xf numFmtId="44" fontId="19" fillId="0" borderId="14" xfId="0" applyNumberFormat="1" applyFont="1" applyBorder="1"/>
    <xf numFmtId="0" fontId="48" fillId="0" borderId="9" xfId="0" applyFont="1" applyBorder="1" applyAlignment="1">
      <alignment vertical="center" wrapText="1"/>
    </xf>
    <xf numFmtId="0" fontId="48" fillId="0" borderId="10" xfId="0" applyFont="1" applyBorder="1" applyAlignment="1">
      <alignment vertical="center" wrapText="1"/>
    </xf>
    <xf numFmtId="0" fontId="48" fillId="0" borderId="0" xfId="0" applyFont="1" applyBorder="1" applyAlignment="1">
      <alignment vertical="center" wrapText="1"/>
    </xf>
    <xf numFmtId="0" fontId="48" fillId="0" borderId="11" xfId="0" applyFont="1" applyBorder="1" applyAlignment="1">
      <alignment vertical="center" wrapText="1"/>
    </xf>
    <xf numFmtId="44" fontId="6" fillId="0" borderId="0" xfId="0" applyNumberFormat="1" applyFont="1" applyBorder="1" applyAlignment="1"/>
    <xf numFmtId="44" fontId="0" fillId="0" borderId="0" xfId="0" applyNumberFormat="1"/>
    <xf numFmtId="44" fontId="19" fillId="0" borderId="11" xfId="0" applyNumberFormat="1" applyFont="1" applyBorder="1"/>
    <xf numFmtId="44" fontId="6" fillId="0" borderId="0" xfId="0" applyNumberFormat="1" applyFont="1" applyBorder="1"/>
    <xf numFmtId="0" fontId="6" fillId="0" borderId="16" xfId="0" applyFont="1" applyBorder="1"/>
    <xf numFmtId="0" fontId="8" fillId="0" borderId="9" xfId="0" applyFont="1" applyBorder="1"/>
    <xf numFmtId="0" fontId="8" fillId="0" borderId="10" xfId="0" applyFont="1" applyBorder="1"/>
    <xf numFmtId="0" fontId="7" fillId="0" borderId="15" xfId="0" applyFont="1" applyBorder="1" applyAlignment="1"/>
    <xf numFmtId="0" fontId="7" fillId="0" borderId="0" xfId="0" applyFont="1" applyBorder="1" applyAlignment="1"/>
    <xf numFmtId="0" fontId="7" fillId="0" borderId="44" xfId="0" applyFont="1" applyBorder="1" applyAlignment="1"/>
    <xf numFmtId="0" fontId="7" fillId="0" borderId="45" xfId="0" applyFont="1" applyBorder="1" applyAlignment="1"/>
    <xf numFmtId="0" fontId="8" fillId="0" borderId="45" xfId="0" applyFont="1" applyBorder="1"/>
    <xf numFmtId="0" fontId="8" fillId="0" borderId="46" xfId="0" applyFont="1" applyBorder="1"/>
    <xf numFmtId="0" fontId="8" fillId="0" borderId="8" xfId="0" applyFont="1" applyBorder="1"/>
    <xf numFmtId="0" fontId="44" fillId="0" borderId="0" xfId="0" applyFont="1" applyBorder="1" applyAlignment="1">
      <alignment horizontal="left" vertical="center"/>
    </xf>
    <xf numFmtId="0" fontId="1" fillId="0" borderId="0" xfId="0" applyFont="1" applyFill="1" applyBorder="1" applyAlignment="1">
      <alignment wrapText="1"/>
    </xf>
    <xf numFmtId="166" fontId="0" fillId="0" borderId="0" xfId="0" applyNumberFormat="1" applyFill="1" applyBorder="1"/>
    <xf numFmtId="165" fontId="0" fillId="0" borderId="0" xfId="0" applyNumberFormat="1" applyFill="1" applyBorder="1"/>
    <xf numFmtId="0" fontId="1" fillId="0" borderId="0" xfId="0" applyFont="1" applyFill="1" applyBorder="1" applyAlignment="1">
      <alignment horizontal="left"/>
    </xf>
    <xf numFmtId="0" fontId="5" fillId="0" borderId="10" xfId="0" applyFont="1" applyBorder="1" applyAlignment="1"/>
    <xf numFmtId="0" fontId="44" fillId="0" borderId="0" xfId="0" applyFont="1" applyBorder="1"/>
    <xf numFmtId="0" fontId="44" fillId="0" borderId="15" xfId="0" applyFont="1" applyBorder="1"/>
    <xf numFmtId="10" fontId="44" fillId="0" borderId="11" xfId="0" applyNumberFormat="1" applyFont="1" applyBorder="1"/>
    <xf numFmtId="44" fontId="6" fillId="0" borderId="11" xfId="0" applyNumberFormat="1" applyFont="1" applyBorder="1"/>
    <xf numFmtId="0" fontId="19" fillId="0" borderId="16" xfId="0" applyFont="1" applyBorder="1" applyAlignment="1"/>
    <xf numFmtId="0" fontId="5" fillId="0" borderId="13" xfId="0" applyFont="1" applyBorder="1" applyAlignment="1"/>
    <xf numFmtId="0" fontId="2" fillId="0" borderId="13" xfId="0" applyFont="1" applyFill="1" applyBorder="1"/>
    <xf numFmtId="0" fontId="49" fillId="0" borderId="0" xfId="0" applyFont="1" applyAlignment="1">
      <alignment wrapText="1"/>
    </xf>
    <xf numFmtId="0" fontId="1" fillId="0" borderId="0" xfId="0" applyFont="1" applyFill="1" applyBorder="1" applyAlignment="1">
      <alignment vertical="center"/>
    </xf>
    <xf numFmtId="0" fontId="5" fillId="0" borderId="82" xfId="0" applyFont="1" applyBorder="1" applyAlignment="1">
      <alignment horizontal="center"/>
    </xf>
    <xf numFmtId="0" fontId="1" fillId="0" borderId="8" xfId="0" applyFont="1" applyBorder="1"/>
    <xf numFmtId="0" fontId="52" fillId="0" borderId="0" xfId="0" applyFont="1" applyBorder="1" applyAlignment="1">
      <alignment vertical="center" wrapText="1"/>
    </xf>
    <xf numFmtId="0" fontId="52" fillId="0" borderId="11" xfId="0" applyFont="1" applyBorder="1" applyAlignment="1">
      <alignment vertical="center" wrapText="1"/>
    </xf>
    <xf numFmtId="42" fontId="43" fillId="0" borderId="0" xfId="0" applyNumberFormat="1" applyFont="1" applyFill="1" applyBorder="1" applyAlignment="1"/>
    <xf numFmtId="44" fontId="43" fillId="0" borderId="0" xfId="0" applyNumberFormat="1" applyFont="1" applyFill="1" applyBorder="1" applyAlignment="1">
      <alignment vertical="center" wrapText="1"/>
    </xf>
    <xf numFmtId="0" fontId="0" fillId="0" borderId="13" xfId="0" applyFont="1" applyBorder="1"/>
    <xf numFmtId="0" fontId="41" fillId="0" borderId="0" xfId="0" applyFont="1" applyFill="1" applyBorder="1" applyAlignment="1">
      <alignment horizontal="left"/>
    </xf>
    <xf numFmtId="0" fontId="10" fillId="7" borderId="83" xfId="0" applyFont="1" applyFill="1" applyBorder="1" applyAlignment="1">
      <alignment horizontal="center"/>
    </xf>
    <xf numFmtId="44" fontId="19" fillId="11" borderId="13" xfId="0" applyNumberFormat="1" applyFont="1" applyFill="1" applyBorder="1" applyAlignment="1"/>
    <xf numFmtId="0" fontId="10" fillId="7" borderId="84" xfId="0" applyFont="1" applyFill="1" applyBorder="1" applyAlignment="1">
      <alignment horizontal="center"/>
    </xf>
    <xf numFmtId="0" fontId="10" fillId="7" borderId="85" xfId="0" applyFont="1" applyFill="1" applyBorder="1" applyAlignment="1">
      <alignment horizontal="center"/>
    </xf>
    <xf numFmtId="44" fontId="6" fillId="11" borderId="85" xfId="0" applyNumberFormat="1" applyFont="1" applyFill="1" applyBorder="1" applyAlignment="1"/>
    <xf numFmtId="2" fontId="19" fillId="0" borderId="0" xfId="0" applyNumberFormat="1" applyFont="1" applyBorder="1"/>
    <xf numFmtId="10" fontId="6" fillId="0" borderId="0" xfId="0" applyNumberFormat="1" applyFont="1" applyBorder="1"/>
    <xf numFmtId="0" fontId="6" fillId="0" borderId="0" xfId="0" applyFont="1" applyBorder="1" applyAlignment="1">
      <alignment horizontal="right"/>
    </xf>
    <xf numFmtId="0" fontId="43" fillId="0" borderId="15" xfId="0" applyFont="1" applyBorder="1" applyAlignment="1">
      <alignment horizontal="left" vertical="center"/>
    </xf>
    <xf numFmtId="0" fontId="43" fillId="0" borderId="0" xfId="0" applyFont="1" applyBorder="1" applyAlignment="1">
      <alignment horizontal="left" vertical="center"/>
    </xf>
    <xf numFmtId="0" fontId="19" fillId="0" borderId="15" xfId="0" applyFont="1" applyFill="1" applyBorder="1" applyAlignment="1">
      <alignment horizontal="left" vertical="center"/>
    </xf>
    <xf numFmtId="0" fontId="19" fillId="9" borderId="15" xfId="0" applyFont="1" applyFill="1" applyBorder="1"/>
    <xf numFmtId="0" fontId="19" fillId="9" borderId="0" xfId="0" applyFont="1" applyFill="1" applyBorder="1"/>
    <xf numFmtId="0" fontId="0" fillId="9" borderId="0" xfId="0" applyFont="1" applyFill="1" applyBorder="1"/>
    <xf numFmtId="44" fontId="19" fillId="9" borderId="0" xfId="0" applyNumberFormat="1" applyFont="1" applyFill="1" applyBorder="1"/>
    <xf numFmtId="0" fontId="6" fillId="9" borderId="0" xfId="0" applyFont="1" applyFill="1" applyBorder="1"/>
    <xf numFmtId="10" fontId="19" fillId="9" borderId="0" xfId="0" applyNumberFormat="1" applyFont="1" applyFill="1" applyBorder="1" applyAlignment="1">
      <alignment horizontal="right"/>
    </xf>
    <xf numFmtId="0" fontId="6" fillId="9" borderId="11" xfId="0" applyFont="1" applyFill="1" applyBorder="1"/>
    <xf numFmtId="0" fontId="19" fillId="0" borderId="15" xfId="0" applyFont="1" applyFill="1" applyBorder="1"/>
    <xf numFmtId="10" fontId="19" fillId="9" borderId="0" xfId="0" applyNumberFormat="1" applyFont="1" applyFill="1" applyBorder="1"/>
    <xf numFmtId="0" fontId="19" fillId="0" borderId="16" xfId="0" applyFont="1" applyFill="1" applyBorder="1"/>
    <xf numFmtId="10" fontId="19" fillId="0" borderId="13" xfId="0" applyNumberFormat="1" applyFont="1" applyBorder="1"/>
    <xf numFmtId="44" fontId="6" fillId="0" borderId="9" xfId="0" applyNumberFormat="1" applyFont="1" applyBorder="1"/>
    <xf numFmtId="44" fontId="5" fillId="0" borderId="0" xfId="0" applyNumberFormat="1" applyFont="1" applyBorder="1"/>
    <xf numFmtId="169" fontId="6" fillId="0" borderId="0" xfId="0" applyNumberFormat="1" applyFont="1" applyBorder="1"/>
    <xf numFmtId="170" fontId="6" fillId="0" borderId="0" xfId="0" applyNumberFormat="1" applyFont="1" applyBorder="1"/>
    <xf numFmtId="0" fontId="5" fillId="9" borderId="0" xfId="0" applyFont="1" applyFill="1" applyBorder="1"/>
    <xf numFmtId="0" fontId="5" fillId="9" borderId="16" xfId="0" applyFont="1" applyFill="1" applyBorder="1"/>
    <xf numFmtId="0" fontId="5" fillId="9" borderId="13" xfId="0" applyFont="1" applyFill="1" applyBorder="1"/>
    <xf numFmtId="1" fontId="41" fillId="0" borderId="0" xfId="0" applyNumberFormat="1" applyFont="1" applyFill="1" applyBorder="1" applyAlignment="1">
      <alignment horizontal="left"/>
    </xf>
    <xf numFmtId="1" fontId="5" fillId="0" borderId="0" xfId="0" applyNumberFormat="1" applyFont="1" applyFill="1" applyBorder="1" applyAlignment="1">
      <alignment horizontal="left"/>
    </xf>
    <xf numFmtId="0" fontId="43" fillId="0" borderId="15" xfId="0" applyFont="1" applyFill="1" applyBorder="1" applyAlignment="1">
      <alignment horizontal="left"/>
    </xf>
    <xf numFmtId="0" fontId="41" fillId="0" borderId="16" xfId="0" applyFont="1" applyBorder="1" applyAlignment="1"/>
    <xf numFmtId="42" fontId="43" fillId="11" borderId="86" xfId="0" applyNumberFormat="1" applyFont="1" applyFill="1" applyBorder="1" applyAlignment="1"/>
    <xf numFmtId="42" fontId="41" fillId="11" borderId="86" xfId="0" applyNumberFormat="1" applyFont="1" applyFill="1" applyBorder="1" applyAlignment="1"/>
    <xf numFmtId="44" fontId="43" fillId="11" borderId="86" xfId="0" applyNumberFormat="1" applyFont="1" applyFill="1" applyBorder="1" applyAlignment="1"/>
    <xf numFmtId="44" fontId="41" fillId="11" borderId="86" xfId="0" applyNumberFormat="1" applyFont="1" applyFill="1" applyBorder="1" applyAlignment="1"/>
    <xf numFmtId="0" fontId="41" fillId="7" borderId="87" xfId="0" applyFont="1" applyFill="1" applyBorder="1" applyAlignment="1">
      <alignment horizontal="center"/>
    </xf>
    <xf numFmtId="44" fontId="41" fillId="12" borderId="87" xfId="0" applyNumberFormat="1" applyFont="1" applyFill="1" applyBorder="1" applyAlignment="1"/>
    <xf numFmtId="2" fontId="0" fillId="0" borderId="0" xfId="0" applyNumberFormat="1"/>
    <xf numFmtId="0" fontId="5" fillId="0" borderId="8" xfId="0" applyFont="1" applyBorder="1"/>
    <xf numFmtId="0" fontId="6" fillId="0" borderId="15" xfId="0" applyFont="1" applyBorder="1" applyAlignment="1">
      <alignment horizontal="right"/>
    </xf>
    <xf numFmtId="0" fontId="6" fillId="0" borderId="0" xfId="0" applyFont="1" applyBorder="1" applyAlignment="1">
      <alignment horizontal="left"/>
    </xf>
    <xf numFmtId="0" fontId="5" fillId="9" borderId="15" xfId="0" applyFont="1" applyFill="1" applyBorder="1"/>
    <xf numFmtId="44" fontId="19" fillId="9" borderId="14" xfId="0" applyNumberFormat="1" applyFont="1" applyFill="1" applyBorder="1"/>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xf numFmtId="44" fontId="0" fillId="0" borderId="1" xfId="0" applyNumberFormat="1" applyBorder="1" applyAlignment="1"/>
    <xf numFmtId="0" fontId="1" fillId="0" borderId="1" xfId="0" applyFont="1" applyBorder="1" applyAlignment="1">
      <alignment horizontal="right"/>
    </xf>
    <xf numFmtId="43" fontId="1" fillId="0" borderId="1" xfId="0" applyNumberFormat="1" applyFont="1" applyBorder="1" applyAlignment="1">
      <alignment horizontal="right"/>
    </xf>
    <xf numFmtId="43" fontId="0" fillId="0" borderId="1" xfId="0" applyNumberFormat="1" applyBorder="1" applyAlignment="1">
      <alignment horizontal="right"/>
    </xf>
    <xf numFmtId="0" fontId="1" fillId="0" borderId="1" xfId="0" applyFont="1" applyBorder="1" applyAlignment="1">
      <alignment horizontal="center"/>
    </xf>
    <xf numFmtId="0" fontId="1" fillId="0" borderId="22" xfId="0" applyFont="1" applyBorder="1" applyAlignment="1">
      <alignment horizontal="center"/>
    </xf>
    <xf numFmtId="0" fontId="17" fillId="0" borderId="89" xfId="0" applyFont="1" applyBorder="1" applyAlignment="1">
      <alignment horizontal="right"/>
    </xf>
    <xf numFmtId="44" fontId="0" fillId="0" borderId="22" xfId="0" applyNumberFormat="1" applyBorder="1" applyAlignment="1">
      <alignment horizontal="center"/>
    </xf>
    <xf numFmtId="43" fontId="17" fillId="0" borderId="89" xfId="0" applyNumberFormat="1" applyFont="1" applyBorder="1" applyAlignment="1">
      <alignment horizontal="right"/>
    </xf>
    <xf numFmtId="0" fontId="0" fillId="0" borderId="22" xfId="0" applyBorder="1"/>
    <xf numFmtId="43" fontId="0" fillId="0" borderId="11" xfId="0" applyNumberFormat="1" applyBorder="1"/>
    <xf numFmtId="2" fontId="0" fillId="0" borderId="0" xfId="0" applyNumberFormat="1" applyBorder="1"/>
    <xf numFmtId="14" fontId="19" fillId="0" borderId="9" xfId="0" applyNumberFormat="1" applyFont="1" applyFill="1" applyBorder="1" applyAlignment="1">
      <alignment horizontal="left"/>
    </xf>
    <xf numFmtId="0" fontId="19" fillId="0" borderId="9" xfId="0" applyFont="1" applyBorder="1" applyAlignment="1">
      <alignment horizontal="right"/>
    </xf>
    <xf numFmtId="0" fontId="5" fillId="0" borderId="1" xfId="0" applyFont="1" applyBorder="1" applyAlignment="1">
      <alignment horizontal="right"/>
    </xf>
    <xf numFmtId="0" fontId="5" fillId="0" borderId="23" xfId="0" applyFont="1" applyBorder="1" applyAlignment="1">
      <alignment horizontal="right"/>
    </xf>
    <xf numFmtId="0" fontId="6" fillId="0" borderId="22" xfId="0" applyFont="1" applyFill="1" applyBorder="1" applyAlignment="1">
      <alignment horizontal="center"/>
    </xf>
    <xf numFmtId="44" fontId="6" fillId="0" borderId="1" xfId="0" applyNumberFormat="1" applyFont="1" applyBorder="1"/>
    <xf numFmtId="0" fontId="6" fillId="0" borderId="1" xfId="0" applyFont="1" applyBorder="1"/>
    <xf numFmtId="0" fontId="6" fillId="0" borderId="18" xfId="0" applyFont="1" applyBorder="1"/>
    <xf numFmtId="44" fontId="6" fillId="0" borderId="88" xfId="0" applyNumberFormat="1" applyFont="1" applyBorder="1"/>
    <xf numFmtId="0" fontId="6" fillId="0" borderId="20" xfId="0" applyFont="1" applyBorder="1"/>
    <xf numFmtId="0" fontId="6" fillId="0" borderId="90" xfId="0" applyFont="1" applyBorder="1"/>
    <xf numFmtId="44" fontId="6" fillId="0" borderId="23" xfId="0" applyNumberFormat="1" applyFont="1" applyBorder="1"/>
    <xf numFmtId="0" fontId="19" fillId="9" borderId="2" xfId="0" applyFont="1" applyFill="1" applyBorder="1" applyAlignment="1">
      <alignment horizontal="right"/>
    </xf>
    <xf numFmtId="44" fontId="19" fillId="9" borderId="91" xfId="0" applyNumberFormat="1" applyFont="1" applyFill="1" applyBorder="1"/>
    <xf numFmtId="0" fontId="5" fillId="0" borderId="25" xfId="0" applyFont="1" applyBorder="1"/>
    <xf numFmtId="0" fontId="5" fillId="0" borderId="25"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44" fontId="6" fillId="11" borderId="92" xfId="0" applyNumberFormat="1" applyFont="1" applyFill="1" applyBorder="1" applyAlignment="1"/>
    <xf numFmtId="44" fontId="19" fillId="11" borderId="92" xfId="0" applyNumberFormat="1" applyFont="1" applyFill="1" applyBorder="1" applyAlignment="1"/>
    <xf numFmtId="42" fontId="6" fillId="11" borderId="92" xfId="0" applyNumberFormat="1" applyFont="1" applyFill="1" applyBorder="1" applyAlignment="1"/>
    <xf numFmtId="42" fontId="19" fillId="11" borderId="92" xfId="0" applyNumberFormat="1" applyFont="1" applyFill="1" applyBorder="1" applyAlignment="1"/>
    <xf numFmtId="0" fontId="6" fillId="0" borderId="45" xfId="0" applyFont="1" applyFill="1" applyBorder="1"/>
    <xf numFmtId="0" fontId="5" fillId="0" borderId="8" xfId="0" applyFont="1" applyFill="1" applyBorder="1"/>
    <xf numFmtId="0" fontId="6" fillId="0" borderId="9" xfId="0" applyFont="1" applyFill="1" applyBorder="1"/>
    <xf numFmtId="4" fontId="6" fillId="0" borderId="11" xfId="0" applyNumberFormat="1" applyFont="1" applyBorder="1"/>
    <xf numFmtId="0" fontId="6" fillId="0" borderId="11" xfId="0" applyNumberFormat="1" applyFont="1" applyBorder="1"/>
    <xf numFmtId="0" fontId="5" fillId="0" borderId="15" xfId="0" applyFont="1" applyFill="1" applyBorder="1"/>
    <xf numFmtId="0" fontId="43" fillId="8" borderId="93" xfId="0" applyFont="1" applyFill="1" applyBorder="1" applyAlignment="1">
      <alignment horizontal="center" vertical="center"/>
    </xf>
    <xf numFmtId="0" fontId="43" fillId="8" borderId="93" xfId="0" applyFont="1" applyFill="1" applyBorder="1" applyAlignment="1">
      <alignment vertical="top"/>
    </xf>
    <xf numFmtId="9" fontId="43" fillId="0" borderId="93" xfId="0" applyNumberFormat="1" applyFont="1" applyBorder="1" applyAlignment="1">
      <alignment horizontal="center" vertical="center"/>
    </xf>
    <xf numFmtId="0" fontId="43" fillId="0" borderId="93" xfId="0" applyFont="1" applyBorder="1" applyAlignment="1">
      <alignment vertical="top"/>
    </xf>
    <xf numFmtId="0" fontId="54" fillId="0" borderId="0" xfId="0" applyFont="1" applyFill="1" applyBorder="1" applyAlignment="1">
      <alignment horizontal="center" vertical="center"/>
    </xf>
    <xf numFmtId="0" fontId="54" fillId="0" borderId="0" xfId="0" applyFont="1" applyFill="1" applyBorder="1" applyAlignment="1">
      <alignment vertical="top"/>
    </xf>
    <xf numFmtId="4" fontId="54"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4" fillId="0" borderId="0" xfId="0" applyFont="1" applyFill="1" applyBorder="1" applyAlignment="1">
      <alignmen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0" fontId="55" fillId="0" borderId="0" xfId="0" applyFont="1" applyFill="1" applyBorder="1" applyAlignment="1">
      <alignment vertical="top"/>
    </xf>
    <xf numFmtId="171" fontId="55" fillId="0" borderId="0" xfId="0" applyNumberFormat="1" applyFont="1" applyFill="1" applyBorder="1" applyAlignment="1">
      <alignment vertical="top"/>
    </xf>
    <xf numFmtId="10" fontId="55" fillId="0" borderId="0" xfId="0" applyNumberFormat="1" applyFont="1" applyFill="1" applyBorder="1" applyAlignment="1">
      <alignment vertical="top"/>
    </xf>
    <xf numFmtId="44" fontId="43" fillId="0" borderId="101" xfId="0" applyNumberFormat="1" applyFont="1" applyBorder="1" applyAlignment="1">
      <alignment horizontal="center" vertical="center"/>
    </xf>
    <xf numFmtId="44" fontId="43" fillId="0" borderId="111" xfId="0" applyNumberFormat="1" applyFont="1" applyBorder="1" applyAlignment="1">
      <alignment horizontal="center" vertical="center"/>
    </xf>
    <xf numFmtId="44" fontId="43" fillId="0" borderId="102" xfId="0" applyNumberFormat="1" applyFont="1" applyBorder="1" applyAlignment="1">
      <alignment horizontal="center" vertical="center"/>
    </xf>
    <xf numFmtId="44" fontId="43" fillId="0" borderId="103" xfId="0" applyNumberFormat="1" applyFont="1" applyBorder="1" applyAlignment="1">
      <alignment horizontal="center" vertical="center"/>
    </xf>
    <xf numFmtId="44" fontId="43" fillId="0" borderId="104" xfId="0" applyNumberFormat="1" applyFont="1" applyBorder="1" applyAlignment="1">
      <alignment horizontal="center" vertical="center"/>
    </xf>
    <xf numFmtId="0" fontId="43" fillId="8" borderId="105" xfId="0" applyFont="1" applyFill="1" applyBorder="1" applyAlignment="1">
      <alignment horizontal="center" vertical="center"/>
    </xf>
    <xf numFmtId="0" fontId="43" fillId="8" borderId="112" xfId="0" applyFont="1" applyFill="1" applyBorder="1" applyAlignment="1">
      <alignment horizontal="center" vertical="center"/>
    </xf>
    <xf numFmtId="0" fontId="43" fillId="8" borderId="97" xfId="0" applyFont="1" applyFill="1" applyBorder="1" applyAlignment="1">
      <alignment horizontal="center" vertical="center"/>
    </xf>
    <xf numFmtId="0" fontId="43" fillId="8" borderId="106" xfId="0" applyFont="1" applyFill="1" applyBorder="1" applyAlignment="1">
      <alignment vertical="top"/>
    </xf>
    <xf numFmtId="9" fontId="43" fillId="0" borderId="105" xfId="0" applyNumberFormat="1" applyFont="1" applyBorder="1" applyAlignment="1">
      <alignment horizontal="center" vertical="center"/>
    </xf>
    <xf numFmtId="9" fontId="43" fillId="0" borderId="95" xfId="0" applyNumberFormat="1" applyFont="1" applyBorder="1" applyAlignment="1">
      <alignment horizontal="center" vertical="center"/>
    </xf>
    <xf numFmtId="9" fontId="43" fillId="0" borderId="97" xfId="0" applyNumberFormat="1" applyFont="1" applyBorder="1" applyAlignment="1">
      <alignment horizontal="center" vertical="center"/>
    </xf>
    <xf numFmtId="0" fontId="43" fillId="0" borderId="106" xfId="0" applyFont="1" applyBorder="1" applyAlignment="1">
      <alignment vertical="top"/>
    </xf>
    <xf numFmtId="0" fontId="43" fillId="8" borderId="95" xfId="0" applyFont="1" applyFill="1" applyBorder="1" applyAlignment="1">
      <alignment horizontal="center" vertical="center"/>
    </xf>
    <xf numFmtId="44" fontId="43" fillId="0" borderId="105" xfId="0" applyNumberFormat="1" applyFont="1" applyBorder="1" applyAlignment="1">
      <alignment horizontal="center" vertical="center"/>
    </xf>
    <xf numFmtId="44" fontId="43" fillId="0" borderId="95" xfId="0" applyNumberFormat="1" applyFont="1" applyBorder="1" applyAlignment="1">
      <alignment horizontal="center" vertical="center"/>
    </xf>
    <xf numFmtId="44" fontId="43" fillId="0" borderId="98" xfId="0" applyNumberFormat="1" applyFont="1" applyBorder="1" applyAlignment="1">
      <alignment horizontal="center" vertical="center"/>
    </xf>
    <xf numFmtId="44" fontId="43" fillId="0" borderId="99" xfId="0" applyNumberFormat="1" applyFont="1" applyBorder="1" applyAlignment="1">
      <alignment horizontal="center" vertical="center"/>
    </xf>
    <xf numFmtId="44" fontId="43" fillId="0" borderId="94" xfId="0" applyNumberFormat="1" applyFont="1" applyBorder="1" applyAlignment="1">
      <alignment horizontal="center" vertical="center"/>
    </xf>
    <xf numFmtId="44" fontId="43" fillId="0" borderId="100" xfId="0" applyNumberFormat="1" applyFont="1" applyBorder="1" applyAlignment="1">
      <alignment horizontal="center" vertical="center"/>
    </xf>
    <xf numFmtId="43" fontId="43" fillId="0" borderId="106" xfId="0" applyNumberFormat="1" applyFont="1" applyBorder="1" applyAlignment="1">
      <alignment vertical="top"/>
    </xf>
    <xf numFmtId="0" fontId="43" fillId="8" borderId="96" xfId="0" applyFont="1" applyFill="1" applyBorder="1" applyAlignment="1">
      <alignment horizontal="center" vertical="center"/>
    </xf>
    <xf numFmtId="0" fontId="43" fillId="8" borderId="97" xfId="0" applyFont="1" applyFill="1" applyBorder="1" applyAlignment="1">
      <alignment vertical="top"/>
    </xf>
    <xf numFmtId="0" fontId="43" fillId="0" borderId="105" xfId="0" applyFont="1" applyBorder="1" applyAlignment="1">
      <alignment vertical="top"/>
    </xf>
    <xf numFmtId="0" fontId="43" fillId="0" borderId="95" xfId="0" applyFont="1" applyBorder="1" applyAlignment="1">
      <alignment vertical="top"/>
    </xf>
    <xf numFmtId="0" fontId="43" fillId="0" borderId="97" xfId="0" applyFont="1" applyBorder="1" applyAlignment="1">
      <alignment vertical="top"/>
    </xf>
    <xf numFmtId="0" fontId="43" fillId="8" borderId="107" xfId="0" applyFont="1" applyFill="1" applyBorder="1" applyAlignment="1">
      <alignment vertical="top"/>
    </xf>
    <xf numFmtId="10" fontId="19" fillId="8" borderId="13" xfId="0" applyNumberFormat="1" applyFont="1" applyFill="1" applyBorder="1" applyAlignment="1">
      <alignment horizontal="center" vertical="center"/>
    </xf>
    <xf numFmtId="0" fontId="43" fillId="8" borderId="108" xfId="0" applyFont="1" applyFill="1" applyBorder="1" applyAlignment="1">
      <alignment vertical="top"/>
    </xf>
    <xf numFmtId="0" fontId="43" fillId="8" borderId="14" xfId="0" applyFont="1" applyFill="1" applyBorder="1" applyAlignment="1">
      <alignment vertical="top"/>
    </xf>
    <xf numFmtId="0" fontId="43" fillId="0" borderId="8" xfId="0" applyFont="1" applyFill="1" applyBorder="1" applyAlignment="1">
      <alignment horizontal="left" vertical="center" readingOrder="1"/>
    </xf>
    <xf numFmtId="0" fontId="43" fillId="0" borderId="9" xfId="0" applyFont="1" applyFill="1" applyBorder="1" applyAlignment="1">
      <alignment horizontal="left" vertical="center" readingOrder="1"/>
    </xf>
    <xf numFmtId="0" fontId="6" fillId="0" borderId="15" xfId="0" applyFont="1" applyBorder="1" applyAlignment="1"/>
    <xf numFmtId="0" fontId="19" fillId="0" borderId="11" xfId="0" applyFont="1" applyBorder="1"/>
    <xf numFmtId="44" fontId="19" fillId="0" borderId="0" xfId="0" applyNumberFormat="1" applyFont="1" applyBorder="1" applyAlignment="1">
      <alignment horizontal="right"/>
    </xf>
    <xf numFmtId="44" fontId="6" fillId="0" borderId="10" xfId="0" applyNumberFormat="1" applyFont="1" applyBorder="1"/>
    <xf numFmtId="44" fontId="19" fillId="0" borderId="13" xfId="0" applyNumberFormat="1" applyFont="1" applyBorder="1" applyAlignment="1">
      <alignment horizontal="right"/>
    </xf>
    <xf numFmtId="10" fontId="6" fillId="0" borderId="11" xfId="0" applyNumberFormat="1" applyFont="1" applyBorder="1"/>
    <xf numFmtId="4" fontId="19" fillId="0" borderId="11" xfId="0" applyNumberFormat="1" applyFont="1" applyBorder="1"/>
    <xf numFmtId="0" fontId="19" fillId="0" borderId="115" xfId="0" applyFont="1" applyBorder="1"/>
    <xf numFmtId="0" fontId="19" fillId="0" borderId="5" xfId="0" applyFont="1" applyBorder="1"/>
    <xf numFmtId="10" fontId="19" fillId="0" borderId="19" xfId="0" applyNumberFormat="1" applyFont="1" applyBorder="1"/>
    <xf numFmtId="44" fontId="32" fillId="0" borderId="11" xfId="0" applyNumberFormat="1" applyFont="1" applyBorder="1"/>
    <xf numFmtId="0" fontId="5" fillId="0" borderId="13" xfId="0" applyFont="1" applyBorder="1"/>
    <xf numFmtId="10" fontId="42" fillId="0" borderId="14" xfId="0" applyNumberFormat="1" applyFont="1" applyBorder="1"/>
    <xf numFmtId="0" fontId="19" fillId="0" borderId="8" xfId="0" applyFont="1" applyFill="1" applyBorder="1"/>
    <xf numFmtId="0" fontId="19" fillId="0" borderId="9" xfId="0" applyFont="1" applyFill="1" applyBorder="1"/>
    <xf numFmtId="0" fontId="19" fillId="0" borderId="9" xfId="0" applyFont="1" applyBorder="1"/>
    <xf numFmtId="44" fontId="19" fillId="0" borderId="10" xfId="0" applyNumberFormat="1" applyFont="1" applyBorder="1"/>
    <xf numFmtId="172" fontId="19" fillId="0" borderId="11" xfId="0" applyNumberFormat="1" applyFont="1" applyBorder="1"/>
    <xf numFmtId="0" fontId="41" fillId="0" borderId="0" xfId="0" applyFont="1" applyFill="1" applyBorder="1" applyAlignment="1"/>
    <xf numFmtId="0" fontId="43" fillId="0" borderId="8" xfId="0" applyFont="1" applyBorder="1"/>
    <xf numFmtId="173" fontId="57" fillId="0" borderId="9" xfId="0" applyNumberFormat="1" applyFont="1" applyFill="1" applyBorder="1"/>
    <xf numFmtId="44" fontId="57" fillId="0" borderId="9" xfId="0" applyNumberFormat="1" applyFont="1" applyFill="1" applyBorder="1"/>
    <xf numFmtId="44" fontId="57" fillId="6" borderId="9" xfId="0" applyNumberFormat="1" applyFont="1" applyFill="1" applyBorder="1"/>
    <xf numFmtId="0" fontId="43" fillId="0" borderId="15" xfId="0" applyFont="1" applyBorder="1"/>
    <xf numFmtId="9" fontId="57" fillId="0" borderId="0" xfId="4" applyFont="1" applyFill="1" applyBorder="1"/>
    <xf numFmtId="9" fontId="57" fillId="6" borderId="0" xfId="4" applyFont="1" applyFill="1" applyBorder="1"/>
    <xf numFmtId="0" fontId="57" fillId="0" borderId="0" xfId="0" applyFont="1" applyFill="1" applyBorder="1"/>
    <xf numFmtId="2" fontId="57" fillId="6" borderId="0" xfId="0" applyNumberFormat="1" applyFont="1" applyFill="1" applyBorder="1"/>
    <xf numFmtId="174" fontId="57" fillId="0" borderId="0" xfId="2" applyNumberFormat="1" applyFont="1" applyFill="1" applyBorder="1"/>
    <xf numFmtId="4" fontId="57" fillId="6" borderId="0" xfId="2" applyNumberFormat="1" applyFont="1" applyFill="1" applyBorder="1"/>
    <xf numFmtId="44" fontId="58" fillId="0" borderId="0" xfId="3" applyFont="1" applyFill="1" applyBorder="1"/>
    <xf numFmtId="44" fontId="58" fillId="6" borderId="0" xfId="3" applyFont="1" applyFill="1" applyBorder="1"/>
    <xf numFmtId="0" fontId="57" fillId="6" borderId="0" xfId="0" applyFont="1" applyFill="1" applyBorder="1"/>
    <xf numFmtId="10" fontId="57" fillId="0" borderId="0" xfId="4" applyNumberFormat="1" applyFont="1" applyFill="1" applyBorder="1"/>
    <xf numFmtId="10" fontId="57" fillId="6" borderId="0" xfId="4" applyNumberFormat="1" applyFont="1" applyFill="1" applyBorder="1"/>
    <xf numFmtId="0" fontId="43" fillId="0" borderId="16" xfId="0" applyFont="1" applyBorder="1"/>
    <xf numFmtId="10" fontId="58" fillId="0" borderId="13" xfId="4" applyNumberFormat="1" applyFont="1" applyFill="1" applyBorder="1"/>
    <xf numFmtId="10" fontId="58" fillId="13" borderId="13" xfId="4" applyNumberFormat="1" applyFont="1" applyFill="1" applyBorder="1"/>
    <xf numFmtId="174" fontId="57" fillId="6" borderId="0" xfId="2" applyNumberFormat="1" applyFont="1" applyFill="1" applyBorder="1"/>
    <xf numFmtId="0" fontId="40" fillId="0" borderId="11" xfId="0" applyFont="1" applyBorder="1"/>
    <xf numFmtId="10" fontId="19" fillId="0" borderId="11" xfId="4" applyNumberFormat="1" applyFont="1" applyBorder="1"/>
    <xf numFmtId="0" fontId="41" fillId="0" borderId="11" xfId="0" applyFont="1" applyBorder="1"/>
    <xf numFmtId="44" fontId="57" fillId="0" borderId="13" xfId="3" applyFont="1" applyFill="1" applyBorder="1"/>
    <xf numFmtId="44" fontId="57" fillId="6" borderId="13" xfId="3" applyFont="1" applyFill="1" applyBorder="1"/>
    <xf numFmtId="44" fontId="17" fillId="0" borderId="0" xfId="0" applyNumberFormat="1" applyFont="1" applyBorder="1"/>
    <xf numFmtId="10" fontId="6" fillId="0" borderId="25" xfId="0" applyNumberFormat="1" applyFont="1" applyFill="1" applyBorder="1" applyAlignment="1">
      <alignment horizontal="right"/>
    </xf>
    <xf numFmtId="10" fontId="19" fillId="0" borderId="26" xfId="0" applyNumberFormat="1" applyFont="1" applyBorder="1" applyAlignment="1">
      <alignment horizontal="right"/>
    </xf>
    <xf numFmtId="0" fontId="43" fillId="0" borderId="0" xfId="0" applyFont="1" applyFill="1" applyBorder="1" applyAlignment="1">
      <alignment wrapText="1"/>
    </xf>
    <xf numFmtId="0" fontId="5" fillId="0" borderId="81" xfId="0" applyFont="1" applyBorder="1" applyAlignment="1">
      <alignment horizontal="center"/>
    </xf>
    <xf numFmtId="10" fontId="19" fillId="0" borderId="25" xfId="0" applyNumberFormat="1" applyFont="1" applyBorder="1" applyAlignment="1">
      <alignment horizontal="right"/>
    </xf>
    <xf numFmtId="0" fontId="41" fillId="0" borderId="0" xfId="0" applyFont="1" applyBorder="1" applyAlignment="1">
      <alignment wrapText="1"/>
    </xf>
    <xf numFmtId="0" fontId="5" fillId="0" borderId="17" xfId="0" applyFont="1" applyFill="1" applyBorder="1" applyAlignment="1">
      <alignment horizontal="center"/>
    </xf>
    <xf numFmtId="10" fontId="6" fillId="0" borderId="2" xfId="0" applyNumberFormat="1" applyFont="1" applyFill="1" applyBorder="1" applyAlignment="1">
      <alignment horizontal="right"/>
    </xf>
    <xf numFmtId="10" fontId="19" fillId="0" borderId="91" xfId="0" applyNumberFormat="1" applyFont="1" applyBorder="1" applyAlignment="1">
      <alignment horizontal="right"/>
    </xf>
    <xf numFmtId="0" fontId="5" fillId="0" borderId="6" xfId="0" applyFont="1" applyFill="1" applyBorder="1" applyAlignment="1">
      <alignment horizontal="center"/>
    </xf>
    <xf numFmtId="44" fontId="6" fillId="0" borderId="1" xfId="0" applyNumberFormat="1" applyFont="1" applyFill="1" applyBorder="1" applyAlignment="1">
      <alignment horizontal="right"/>
    </xf>
    <xf numFmtId="44" fontId="43" fillId="0" borderId="1" xfId="0" applyNumberFormat="1" applyFont="1" applyBorder="1" applyAlignment="1">
      <alignment horizontal="right"/>
    </xf>
    <xf numFmtId="0" fontId="5" fillId="0" borderId="12" xfId="0" applyFont="1" applyFill="1" applyBorder="1" applyAlignment="1">
      <alignment horizontal="center"/>
    </xf>
    <xf numFmtId="10" fontId="2" fillId="0" borderId="0" xfId="0" applyNumberFormat="1" applyFont="1" applyBorder="1"/>
    <xf numFmtId="44" fontId="6" fillId="0" borderId="2" xfId="0" applyNumberFormat="1" applyFont="1" applyFill="1" applyBorder="1" applyAlignment="1">
      <alignment horizontal="right"/>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175" fontId="0" fillId="0" borderId="0" xfId="0" applyNumberFormat="1"/>
    <xf numFmtId="14" fontId="0" fillId="0" borderId="0" xfId="0" applyNumberFormat="1"/>
    <xf numFmtId="4" fontId="0" fillId="0" borderId="1" xfId="0" applyNumberFormat="1" applyBorder="1"/>
    <xf numFmtId="9" fontId="0" fillId="0" borderId="1" xfId="0" applyNumberFormat="1" applyBorder="1"/>
    <xf numFmtId="175" fontId="0" fillId="0" borderId="1" xfId="0" applyNumberFormat="1" applyBorder="1"/>
    <xf numFmtId="0" fontId="0" fillId="0" borderId="1" xfId="0" applyBorder="1"/>
    <xf numFmtId="0" fontId="0" fillId="0" borderId="121" xfId="0" applyFill="1" applyBorder="1" applyAlignment="1">
      <alignment horizontal="right" vertical="center" wrapText="1" indent="2"/>
    </xf>
    <xf numFmtId="0" fontId="0" fillId="0" borderId="0" xfId="0" applyFill="1" applyBorder="1" applyAlignment="1">
      <alignment horizontal="right" vertical="center" wrapText="1" indent="2"/>
    </xf>
    <xf numFmtId="0" fontId="0" fillId="0" borderId="0" xfId="0" applyFill="1" applyBorder="1" applyAlignment="1">
      <alignment horizontal="center" vertical="center" wrapText="1"/>
    </xf>
    <xf numFmtId="0" fontId="0" fillId="0" borderId="1" xfId="0" applyFill="1" applyBorder="1" applyAlignment="1">
      <alignment wrapText="1"/>
    </xf>
    <xf numFmtId="4" fontId="21" fillId="18" borderId="3" xfId="0" applyNumberFormat="1" applyFont="1" applyFill="1" applyBorder="1"/>
    <xf numFmtId="0" fontId="21" fillId="18" borderId="3" xfId="0" applyFont="1" applyFill="1" applyBorder="1"/>
    <xf numFmtId="0" fontId="21" fillId="18" borderId="0" xfId="0" applyFont="1" applyFill="1" applyBorder="1"/>
    <xf numFmtId="0" fontId="21" fillId="18" borderId="20" xfId="0" applyFont="1" applyFill="1" applyBorder="1"/>
    <xf numFmtId="0" fontId="21" fillId="18" borderId="3" xfId="0" applyFont="1" applyFill="1" applyBorder="1" applyAlignment="1">
      <alignment horizontal="right" vertical="center" wrapText="1"/>
    </xf>
    <xf numFmtId="0" fontId="0" fillId="0" borderId="0" xfId="0" applyFill="1" applyAlignment="1">
      <alignment horizontal="right"/>
    </xf>
    <xf numFmtId="0" fontId="21" fillId="18" borderId="7" xfId="0" applyFont="1" applyFill="1" applyBorder="1" applyAlignment="1">
      <alignment horizontal="right"/>
    </xf>
    <xf numFmtId="0" fontId="21" fillId="18" borderId="7" xfId="0" applyFont="1" applyFill="1" applyBorder="1"/>
    <xf numFmtId="0" fontId="21" fillId="18" borderId="118" xfId="0" applyFont="1" applyFill="1" applyBorder="1"/>
    <xf numFmtId="0" fontId="21" fillId="18" borderId="120" xfId="0" applyFont="1" applyFill="1" applyBorder="1"/>
    <xf numFmtId="0" fontId="1" fillId="0" borderId="1" xfId="0" applyFont="1" applyFill="1" applyBorder="1" applyAlignment="1">
      <alignment horizontal="center"/>
    </xf>
    <xf numFmtId="14" fontId="0" fillId="0" borderId="1" xfId="0" applyNumberFormat="1" applyBorder="1"/>
    <xf numFmtId="0" fontId="61" fillId="0" borderId="0" xfId="0" applyFont="1"/>
    <xf numFmtId="3" fontId="1" fillId="0" borderId="27" xfId="0" applyNumberFormat="1" applyFont="1" applyBorder="1"/>
    <xf numFmtId="0" fontId="1" fillId="0" borderId="88" xfId="0" applyFont="1" applyBorder="1"/>
    <xf numFmtId="0" fontId="0" fillId="17" borderId="0" xfId="0" applyFill="1"/>
    <xf numFmtId="0" fontId="0" fillId="0" borderId="122" xfId="0" applyBorder="1"/>
    <xf numFmtId="14" fontId="0" fillId="0" borderId="18" xfId="0" applyNumberFormat="1" applyBorder="1"/>
    <xf numFmtId="0" fontId="0" fillId="0" borderId="3" xfId="0" applyBorder="1"/>
    <xf numFmtId="14" fontId="0" fillId="0" borderId="20" xfId="0" applyNumberFormat="1" applyBorder="1"/>
    <xf numFmtId="0" fontId="1" fillId="0" borderId="20" xfId="0" applyFont="1" applyBorder="1"/>
    <xf numFmtId="1" fontId="0" fillId="0" borderId="0" xfId="0" applyNumberFormat="1"/>
    <xf numFmtId="44" fontId="0" fillId="0" borderId="1" xfId="0" applyNumberFormat="1" applyBorder="1"/>
    <xf numFmtId="0" fontId="64" fillId="0" borderId="1" xfId="0" applyFont="1" applyBorder="1" applyAlignment="1">
      <alignment horizontal="center" vertical="center"/>
    </xf>
    <xf numFmtId="0" fontId="64" fillId="0" borderId="1" xfId="0" applyFont="1" applyBorder="1" applyAlignment="1">
      <alignment horizontal="center" vertical="center" wrapText="1"/>
    </xf>
    <xf numFmtId="0" fontId="64" fillId="0" borderId="1" xfId="0" applyFont="1" applyFill="1" applyBorder="1" applyAlignment="1">
      <alignment horizontal="center" vertical="center" wrapText="1"/>
    </xf>
    <xf numFmtId="44" fontId="0" fillId="0" borderId="1" xfId="0" applyNumberFormat="1" applyFill="1" applyBorder="1" applyAlignment="1">
      <alignment horizontal="center" vertical="center" wrapText="1"/>
    </xf>
    <xf numFmtId="0" fontId="17" fillId="0" borderId="0" xfId="0" applyFont="1"/>
    <xf numFmtId="0" fontId="1" fillId="0" borderId="7" xfId="0" applyFont="1" applyBorder="1" applyAlignment="1">
      <alignment horizontal="center"/>
    </xf>
    <xf numFmtId="0" fontId="1" fillId="0" borderId="120" xfId="0" applyFont="1" applyBorder="1" applyAlignment="1">
      <alignment horizontal="left"/>
    </xf>
    <xf numFmtId="0" fontId="6" fillId="0" borderId="45" xfId="0" applyFont="1" applyBorder="1" applyAlignment="1">
      <alignment horizontal="left" wrapText="1"/>
    </xf>
    <xf numFmtId="0" fontId="6" fillId="0" borderId="46"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xf numFmtId="0" fontId="40" fillId="0" borderId="0" xfId="0" applyFont="1" applyBorder="1" applyAlignment="1">
      <alignment horizontal="left" wrapText="1"/>
    </xf>
    <xf numFmtId="0" fontId="19" fillId="0" borderId="0" xfId="0" applyFont="1" applyBorder="1" applyAlignment="1">
      <alignment horizontal="left" wrapText="1"/>
    </xf>
    <xf numFmtId="0" fontId="19" fillId="9" borderId="0" xfId="0" applyFont="1" applyFill="1" applyBorder="1" applyAlignment="1">
      <alignment horizontal="left" wrapText="1"/>
    </xf>
    <xf numFmtId="176" fontId="6" fillId="0" borderId="11" xfId="0" applyNumberFormat="1" applyFont="1" applyBorder="1" applyAlignment="1">
      <alignment horizontal="left" wrapText="1"/>
    </xf>
    <xf numFmtId="0" fontId="19" fillId="9" borderId="15" xfId="0" applyFont="1" applyFill="1" applyBorder="1" applyAlignment="1"/>
    <xf numFmtId="10" fontId="19" fillId="9" borderId="11" xfId="0" applyNumberFormat="1" applyFont="1" applyFill="1" applyBorder="1" applyAlignment="1">
      <alignment horizontal="right" wrapText="1"/>
    </xf>
    <xf numFmtId="0" fontId="19" fillId="0" borderId="15" xfId="0" applyFont="1" applyBorder="1" applyAlignment="1"/>
    <xf numFmtId="10" fontId="19" fillId="0" borderId="11" xfId="0" applyNumberFormat="1" applyFont="1" applyBorder="1" applyAlignment="1">
      <alignment horizontal="right" wrapText="1"/>
    </xf>
    <xf numFmtId="0" fontId="19" fillId="0" borderId="115" xfId="0" applyFont="1" applyBorder="1" applyAlignment="1"/>
    <xf numFmtId="0" fontId="19" fillId="0" borderId="5" xfId="0" applyFont="1" applyBorder="1" applyAlignment="1">
      <alignment horizontal="left" wrapText="1"/>
    </xf>
    <xf numFmtId="10" fontId="19" fillId="0" borderId="19" xfId="0" applyNumberFormat="1" applyFont="1" applyBorder="1" applyAlignment="1">
      <alignment horizontal="right" wrapText="1"/>
    </xf>
    <xf numFmtId="0" fontId="65" fillId="0" borderId="15" xfId="0" applyFont="1" applyBorder="1" applyAlignment="1"/>
    <xf numFmtId="0" fontId="66" fillId="0" borderId="15" xfId="0" applyFont="1" applyBorder="1" applyAlignment="1"/>
    <xf numFmtId="0" fontId="18" fillId="0" borderId="0" xfId="0" applyFont="1"/>
    <xf numFmtId="10" fontId="18" fillId="0" borderId="0" xfId="0" applyNumberFormat="1" applyFont="1"/>
    <xf numFmtId="0" fontId="40" fillId="0" borderId="0" xfId="0" applyFont="1" applyFill="1" applyBorder="1" applyAlignment="1"/>
    <xf numFmtId="0" fontId="41" fillId="0" borderId="15" xfId="0" applyFont="1" applyBorder="1" applyAlignment="1"/>
    <xf numFmtId="0" fontId="43" fillId="0" borderId="15" xfId="0" applyFont="1" applyBorder="1" applyAlignment="1"/>
    <xf numFmtId="10" fontId="40" fillId="0" borderId="11" xfId="0" applyNumberFormat="1" applyFont="1" applyBorder="1" applyAlignment="1">
      <alignment horizontal="right" wrapText="1"/>
    </xf>
    <xf numFmtId="169" fontId="40" fillId="0" borderId="11" xfId="0" applyNumberFormat="1" applyFont="1" applyBorder="1" applyAlignment="1">
      <alignment horizontal="right" wrapText="1"/>
    </xf>
    <xf numFmtId="0" fontId="19" fillId="0" borderId="15" xfId="0" applyFont="1" applyFill="1" applyBorder="1" applyAlignment="1"/>
    <xf numFmtId="0" fontId="41" fillId="0" borderId="15" xfId="0" applyFont="1" applyFill="1" applyBorder="1" applyAlignment="1"/>
    <xf numFmtId="0" fontId="19" fillId="0" borderId="16" xfId="0" applyFont="1" applyFill="1" applyBorder="1" applyAlignment="1"/>
    <xf numFmtId="0" fontId="5" fillId="0" borderId="9" xfId="0" applyFont="1" applyBorder="1"/>
    <xf numFmtId="0" fontId="5" fillId="0" borderId="10" xfId="0" applyFont="1" applyBorder="1"/>
    <xf numFmtId="0" fontId="5" fillId="0" borderId="11" xfId="0" applyFont="1" applyBorder="1"/>
    <xf numFmtId="0" fontId="19" fillId="0" borderId="5" xfId="0" applyFont="1" applyBorder="1" applyAlignment="1">
      <alignment horizontal="left"/>
    </xf>
    <xf numFmtId="10" fontId="19" fillId="0" borderId="19" xfId="0" applyNumberFormat="1" applyFont="1" applyBorder="1" applyAlignment="1">
      <alignment horizontal="left"/>
    </xf>
    <xf numFmtId="0" fontId="42" fillId="0" borderId="11" xfId="0" applyFont="1" applyBorder="1"/>
    <xf numFmtId="0" fontId="42" fillId="0" borderId="13" xfId="0" applyFont="1" applyBorder="1"/>
    <xf numFmtId="0" fontId="42" fillId="0" borderId="14" xfId="0" applyFont="1" applyBorder="1"/>
    <xf numFmtId="44" fontId="42" fillId="0" borderId="11" xfId="0" applyNumberFormat="1" applyFont="1" applyBorder="1"/>
    <xf numFmtId="0" fontId="3" fillId="0" borderId="0" xfId="0" applyFont="1"/>
    <xf numFmtId="44" fontId="19" fillId="0" borderId="19" xfId="0" applyNumberFormat="1" applyFont="1" applyBorder="1"/>
    <xf numFmtId="0" fontId="6" fillId="0" borderId="0" xfId="0" applyNumberFormat="1" applyFont="1" applyBorder="1"/>
    <xf numFmtId="4" fontId="6" fillId="0" borderId="0" xfId="0" applyNumberFormat="1" applyFont="1" applyBorder="1"/>
    <xf numFmtId="0" fontId="6" fillId="0" borderId="1" xfId="0" applyFont="1" applyBorder="1" applyAlignment="1">
      <alignment horizontal="justify" vertical="center"/>
    </xf>
    <xf numFmtId="0" fontId="6" fillId="0" borderId="1" xfId="0" applyFont="1" applyBorder="1" applyAlignment="1">
      <alignment vertical="center"/>
    </xf>
    <xf numFmtId="0" fontId="68" fillId="0" borderId="80" xfId="0" applyFont="1" applyBorder="1" applyAlignment="1">
      <alignment horizontal="justify" vertical="center" wrapText="1"/>
    </xf>
    <xf numFmtId="0" fontId="6" fillId="0" borderId="81" xfId="0" applyFont="1" applyBorder="1" applyAlignment="1">
      <alignment horizontal="justify" vertical="center"/>
    </xf>
    <xf numFmtId="0" fontId="68" fillId="0" borderId="82" xfId="0" applyFont="1" applyBorder="1" applyAlignment="1">
      <alignment horizontal="justify" vertical="center"/>
    </xf>
    <xf numFmtId="0" fontId="6" fillId="0" borderId="22" xfId="0" applyFont="1" applyBorder="1" applyAlignment="1">
      <alignment horizontal="justify" vertical="center" wrapText="1"/>
    </xf>
    <xf numFmtId="0" fontId="6" fillId="0" borderId="23" xfId="0" applyFont="1" applyBorder="1" applyAlignment="1">
      <alignment horizontal="justify" vertical="center"/>
    </xf>
    <xf numFmtId="0" fontId="68" fillId="0" borderId="22" xfId="0" applyFont="1" applyBorder="1" applyAlignment="1">
      <alignment horizontal="justify" vertical="center" wrapText="1"/>
    </xf>
    <xf numFmtId="0" fontId="6" fillId="0" borderId="23" xfId="0" applyFont="1" applyBorder="1" applyAlignment="1">
      <alignment vertical="center"/>
    </xf>
    <xf numFmtId="0" fontId="6" fillId="0" borderId="24" xfId="0" applyFont="1" applyBorder="1" applyAlignment="1">
      <alignment horizontal="justify" vertical="center" wrapText="1"/>
    </xf>
    <xf numFmtId="0" fontId="6" fillId="0" borderId="25" xfId="0" applyFont="1" applyBorder="1" applyAlignment="1">
      <alignment horizontal="justify" vertical="center"/>
    </xf>
    <xf numFmtId="0" fontId="6" fillId="0" borderId="26" xfId="0" applyFont="1" applyBorder="1" applyAlignment="1">
      <alignment horizontal="justify" vertical="center"/>
    </xf>
    <xf numFmtId="0" fontId="68" fillId="0" borderId="23" xfId="0" applyFont="1" applyBorder="1" applyAlignment="1">
      <alignment horizontal="justify" vertical="center"/>
    </xf>
    <xf numFmtId="9" fontId="0" fillId="0" borderId="0" xfId="0" applyNumberFormat="1"/>
    <xf numFmtId="4" fontId="0" fillId="0" borderId="0" xfId="0" applyNumberFormat="1" applyBorder="1"/>
    <xf numFmtId="14" fontId="1" fillId="0" borderId="0" xfId="0" applyNumberFormat="1" applyFont="1" applyBorder="1"/>
    <xf numFmtId="14" fontId="0" fillId="0" borderId="0" xfId="0" applyNumberFormat="1" applyBorder="1"/>
    <xf numFmtId="0" fontId="2" fillId="0" borderId="0" xfId="0" applyFont="1" applyBorder="1"/>
    <xf numFmtId="4" fontId="1" fillId="3" borderId="1" xfId="0" applyNumberFormat="1" applyFont="1" applyFill="1" applyBorder="1" applyAlignment="1">
      <alignment horizontal="right"/>
    </xf>
    <xf numFmtId="44" fontId="1" fillId="3" borderId="1" xfId="0" applyNumberFormat="1" applyFont="1" applyFill="1" applyBorder="1"/>
    <xf numFmtId="4" fontId="1" fillId="0" borderId="1" xfId="0" applyNumberFormat="1" applyFont="1" applyFill="1" applyBorder="1"/>
    <xf numFmtId="0" fontId="1" fillId="0" borderId="1" xfId="0" applyFont="1" applyBorder="1"/>
    <xf numFmtId="4" fontId="1" fillId="3" borderId="88" xfId="0" applyNumberFormat="1" applyFont="1" applyFill="1" applyBorder="1"/>
    <xf numFmtId="0" fontId="1" fillId="3" borderId="27" xfId="0" applyFont="1" applyFill="1" applyBorder="1"/>
    <xf numFmtId="4" fontId="1" fillId="3" borderId="1" xfId="0" applyNumberFormat="1" applyFont="1" applyFill="1" applyBorder="1" applyAlignment="1">
      <alignment horizontal="center"/>
    </xf>
    <xf numFmtId="0" fontId="1" fillId="3" borderId="1" xfId="0" applyFont="1" applyFill="1" applyBorder="1" applyAlignment="1">
      <alignment horizontal="center"/>
    </xf>
    <xf numFmtId="10" fontId="1" fillId="3" borderId="1" xfId="0" applyNumberFormat="1" applyFont="1" applyFill="1" applyBorder="1" applyAlignment="1">
      <alignment horizontal="center"/>
    </xf>
    <xf numFmtId="44" fontId="1" fillId="20" borderId="1" xfId="0" applyNumberFormat="1" applyFont="1" applyFill="1" applyBorder="1"/>
    <xf numFmtId="0" fontId="1" fillId="19" borderId="44" xfId="0" applyFont="1" applyFill="1" applyBorder="1"/>
    <xf numFmtId="0" fontId="0" fillId="19" borderId="45" xfId="0" applyFill="1" applyBorder="1"/>
    <xf numFmtId="0" fontId="1" fillId="19" borderId="45" xfId="0" applyFont="1" applyFill="1" applyBorder="1"/>
    <xf numFmtId="0" fontId="1" fillId="19" borderId="46" xfId="0" applyFont="1" applyFill="1" applyBorder="1"/>
    <xf numFmtId="2" fontId="1" fillId="19" borderId="45" xfId="0" applyNumberFormat="1" applyFont="1" applyFill="1" applyBorder="1" applyAlignment="1">
      <alignment horizontal="left"/>
    </xf>
    <xf numFmtId="4" fontId="1" fillId="0" borderId="0" xfId="0" applyNumberFormat="1" applyFont="1" applyBorder="1"/>
    <xf numFmtId="0" fontId="1" fillId="0" borderId="0" xfId="0" applyNumberFormat="1" applyFont="1" applyBorder="1"/>
    <xf numFmtId="4" fontId="2" fillId="0" borderId="0" xfId="0" applyNumberFormat="1" applyFont="1" applyBorder="1"/>
    <xf numFmtId="0" fontId="69" fillId="0" borderId="0" xfId="0" applyFont="1" applyAlignment="1">
      <alignment vertical="center" readingOrder="1"/>
    </xf>
    <xf numFmtId="9" fontId="60" fillId="0" borderId="0" xfId="0" applyNumberFormat="1" applyFont="1"/>
    <xf numFmtId="0" fontId="41" fillId="0" borderId="27" xfId="0" applyFont="1" applyFill="1" applyBorder="1" applyAlignment="1">
      <alignment vertical="center" wrapText="1"/>
    </xf>
    <xf numFmtId="0" fontId="41" fillId="0" borderId="7" xfId="0" applyFont="1" applyFill="1" applyBorder="1" applyAlignment="1">
      <alignment vertical="center" wrapText="1"/>
    </xf>
    <xf numFmtId="0" fontId="45" fillId="0" borderId="1" xfId="0" applyFont="1" applyFill="1" applyBorder="1" applyAlignment="1">
      <alignment horizontal="center" vertical="center" wrapText="1"/>
    </xf>
    <xf numFmtId="0" fontId="45" fillId="0" borderId="88"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20" xfId="0" applyFont="1" applyFill="1" applyBorder="1" applyAlignment="1">
      <alignment horizontal="center" vertical="center" wrapText="1"/>
    </xf>
    <xf numFmtId="0" fontId="6" fillId="0" borderId="0" xfId="0" applyFont="1" applyAlignment="1">
      <alignment horizontal="justify" vertical="center"/>
    </xf>
    <xf numFmtId="0" fontId="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41" fillId="21" borderId="1" xfId="0" applyFont="1" applyFill="1" applyBorder="1" applyAlignment="1">
      <alignment horizontal="justify" vertical="center" wrapText="1"/>
    </xf>
    <xf numFmtId="0" fontId="41" fillId="21" borderId="1" xfId="0" applyFont="1" applyFill="1" applyBorder="1" applyAlignment="1">
      <alignment horizontal="center" vertical="center" wrapText="1"/>
    </xf>
    <xf numFmtId="0" fontId="41" fillId="21" borderId="122" xfId="0" applyFont="1" applyFill="1" applyBorder="1" applyAlignment="1">
      <alignment horizontal="center" vertical="center" wrapText="1"/>
    </xf>
    <xf numFmtId="0" fontId="45" fillId="21" borderId="6" xfId="0" applyFont="1" applyFill="1" applyBorder="1" applyAlignment="1">
      <alignment horizontal="center" vertical="center" wrapText="1"/>
    </xf>
    <xf numFmtId="0" fontId="45" fillId="21" borderId="18" xfId="0" applyFont="1" applyFill="1" applyBorder="1" applyAlignment="1">
      <alignment horizontal="center" vertical="center" wrapText="1"/>
    </xf>
    <xf numFmtId="0" fontId="1" fillId="0" borderId="21" xfId="0" applyFont="1" applyBorder="1"/>
    <xf numFmtId="175" fontId="0" fillId="10" borderId="1" xfId="0" applyNumberFormat="1" applyFill="1" applyBorder="1"/>
    <xf numFmtId="4" fontId="17" fillId="0" borderId="0" xfId="0" applyNumberFormat="1" applyFont="1"/>
    <xf numFmtId="0" fontId="60" fillId="0" borderId="0" xfId="0" applyFont="1" applyBorder="1"/>
    <xf numFmtId="0" fontId="5" fillId="0" borderId="0" xfId="0" applyFont="1" applyBorder="1" applyAlignment="1">
      <alignment wrapText="1"/>
    </xf>
    <xf numFmtId="9" fontId="17" fillId="0" borderId="0" xfId="0" applyNumberFormat="1" applyFont="1"/>
    <xf numFmtId="44" fontId="1" fillId="2" borderId="1" xfId="0" applyNumberFormat="1" applyFont="1" applyFill="1" applyBorder="1"/>
    <xf numFmtId="10" fontId="1" fillId="2" borderId="1" xfId="0" applyNumberFormat="1" applyFont="1" applyFill="1" applyBorder="1"/>
    <xf numFmtId="4" fontId="17" fillId="0" borderId="0" xfId="0" applyNumberFormat="1" applyFont="1" applyBorder="1"/>
    <xf numFmtId="0" fontId="1" fillId="19" borderId="8" xfId="0" applyFont="1" applyFill="1" applyBorder="1"/>
    <xf numFmtId="0" fontId="0" fillId="19" borderId="9" xfId="0" applyFill="1" applyBorder="1"/>
    <xf numFmtId="0" fontId="0" fillId="19" borderId="10" xfId="0" applyFill="1" applyBorder="1"/>
    <xf numFmtId="0" fontId="1" fillId="19" borderId="15" xfId="0" applyFont="1" applyFill="1" applyBorder="1"/>
    <xf numFmtId="0" fontId="1" fillId="19" borderId="0" xfId="0" applyFont="1" applyFill="1" applyBorder="1"/>
    <xf numFmtId="0" fontId="1" fillId="19" borderId="11" xfId="0" applyFont="1" applyFill="1" applyBorder="1"/>
    <xf numFmtId="44" fontId="1" fillId="19" borderId="0" xfId="0" applyNumberFormat="1" applyFont="1" applyFill="1" applyBorder="1"/>
    <xf numFmtId="0" fontId="0" fillId="19" borderId="0" xfId="0" applyFill="1" applyBorder="1"/>
    <xf numFmtId="0" fontId="0" fillId="19" borderId="11" xfId="0" applyFill="1" applyBorder="1"/>
    <xf numFmtId="0" fontId="0" fillId="19" borderId="16" xfId="0" applyFill="1" applyBorder="1"/>
    <xf numFmtId="44" fontId="1" fillId="19" borderId="13" xfId="0" applyNumberFormat="1" applyFont="1" applyFill="1" applyBorder="1"/>
    <xf numFmtId="44" fontId="0" fillId="0" borderId="0" xfId="0" applyNumberFormat="1" applyBorder="1"/>
    <xf numFmtId="1" fontId="0" fillId="0" borderId="0" xfId="0" applyNumberFormat="1" applyBorder="1"/>
    <xf numFmtId="0" fontId="2" fillId="19" borderId="13" xfId="0" applyFont="1" applyFill="1" applyBorder="1"/>
    <xf numFmtId="0" fontId="59" fillId="19" borderId="13" xfId="0" applyFont="1" applyFill="1" applyBorder="1"/>
    <xf numFmtId="0" fontId="59" fillId="19" borderId="14" xfId="0" applyFont="1" applyFill="1" applyBorder="1"/>
    <xf numFmtId="0" fontId="71" fillId="0" borderId="0" xfId="0" applyFont="1"/>
    <xf numFmtId="0" fontId="2" fillId="0" borderId="0" xfId="0" applyFont="1" applyFill="1"/>
    <xf numFmtId="0" fontId="1" fillId="0" borderId="0" xfId="0" applyFont="1" applyFill="1"/>
    <xf numFmtId="0" fontId="0" fillId="0" borderId="0" xfId="0" applyFont="1" applyFill="1"/>
    <xf numFmtId="0" fontId="0" fillId="0" borderId="0" xfId="0" applyFont="1"/>
    <xf numFmtId="0" fontId="3" fillId="0" borderId="0" xfId="0" applyFont="1" applyAlignment="1">
      <alignment vertical="center"/>
    </xf>
    <xf numFmtId="0" fontId="3" fillId="0" borderId="0" xfId="0" applyFont="1" applyFill="1"/>
    <xf numFmtId="44" fontId="21" fillId="0" borderId="0" xfId="0" applyNumberFormat="1" applyFont="1"/>
    <xf numFmtId="0" fontId="21" fillId="0" borderId="0" xfId="0" applyFont="1"/>
    <xf numFmtId="0" fontId="6" fillId="0" borderId="0" xfId="0" applyFont="1" applyBorder="1" applyAlignment="1">
      <alignment horizontal="left" vertical="center" wrapText="1"/>
    </xf>
    <xf numFmtId="0" fontId="10" fillId="7" borderId="86" xfId="0" applyFont="1" applyFill="1" applyBorder="1" applyAlignment="1">
      <alignment horizontal="center"/>
    </xf>
    <xf numFmtId="0" fontId="6" fillId="0" borderId="0" xfId="0" applyFont="1" applyBorder="1" applyAlignment="1">
      <alignment horizontal="left"/>
    </xf>
    <xf numFmtId="0" fontId="7" fillId="0" borderId="0" xfId="0" applyFont="1" applyBorder="1" applyAlignment="1">
      <alignment horizontal="left" wrapText="1"/>
    </xf>
    <xf numFmtId="0" fontId="7" fillId="0" borderId="11" xfId="0" applyFont="1" applyBorder="1" applyAlignment="1">
      <alignment horizontal="left" wrapText="1"/>
    </xf>
    <xf numFmtId="0" fontId="0" fillId="0" borderId="11" xfId="0" applyFill="1" applyBorder="1"/>
    <xf numFmtId="0" fontId="1" fillId="0" borderId="11" xfId="0" applyFont="1" applyFill="1" applyBorder="1"/>
    <xf numFmtId="0" fontId="39" fillId="0" borderId="11" xfId="0" applyFont="1" applyBorder="1" applyAlignment="1">
      <alignment wrapText="1"/>
    </xf>
    <xf numFmtId="0" fontId="0" fillId="0" borderId="15" xfId="0" applyFill="1" applyBorder="1"/>
    <xf numFmtId="0" fontId="7" fillId="0" borderId="0" xfId="0" applyFont="1" applyBorder="1" applyAlignment="1">
      <alignment vertical="center" wrapText="1"/>
    </xf>
    <xf numFmtId="10" fontId="0" fillId="0" borderId="0" xfId="0" applyNumberFormat="1" applyBorder="1"/>
    <xf numFmtId="0" fontId="5" fillId="0" borderId="12" xfId="0" applyFont="1" applyBorder="1" applyAlignment="1">
      <alignment horizontal="center"/>
    </xf>
    <xf numFmtId="0" fontId="5" fillId="0" borderId="6" xfId="0" applyFont="1" applyBorder="1" applyAlignment="1">
      <alignment horizontal="center"/>
    </xf>
    <xf numFmtId="0" fontId="5" fillId="0" borderId="122" xfId="0" applyFont="1" applyBorder="1" applyAlignment="1">
      <alignment horizontal="center"/>
    </xf>
    <xf numFmtId="0" fontId="73" fillId="0" borderId="0" xfId="0" applyFont="1"/>
    <xf numFmtId="164" fontId="3" fillId="0" borderId="11" xfId="0" applyNumberFormat="1" applyFont="1" applyFill="1" applyBorder="1" applyAlignment="1">
      <alignment horizontal="right" vertical="center"/>
    </xf>
    <xf numFmtId="4" fontId="1" fillId="0" borderId="11" xfId="0" applyNumberFormat="1" applyFont="1" applyFill="1" applyBorder="1"/>
    <xf numFmtId="0" fontId="8" fillId="0" borderId="11" xfId="0" applyFont="1" applyBorder="1" applyAlignment="1"/>
    <xf numFmtId="0" fontId="0" fillId="0" borderId="0" xfId="0" applyBorder="1" applyAlignment="1"/>
    <xf numFmtId="0" fontId="0" fillId="0" borderId="11" xfId="0" applyBorder="1" applyAlignment="1"/>
    <xf numFmtId="0" fontId="4" fillId="0" borderId="11" xfId="0" applyFont="1" applyBorder="1" applyAlignment="1">
      <alignment horizontal="justify" vertical="center"/>
    </xf>
    <xf numFmtId="0" fontId="27" fillId="0" borderId="11" xfId="0" applyFont="1" applyBorder="1" applyAlignment="1">
      <alignment horizontal="justify" vertical="center"/>
    </xf>
    <xf numFmtId="0" fontId="50" fillId="0" borderId="11" xfId="0" applyFont="1" applyBorder="1" applyAlignment="1">
      <alignment horizontal="justify" vertical="center"/>
    </xf>
    <xf numFmtId="2" fontId="0" fillId="0" borderId="11" xfId="0" applyNumberFormat="1" applyBorder="1"/>
    <xf numFmtId="0" fontId="4" fillId="0" borderId="0" xfId="0" applyFont="1" applyBorder="1" applyAlignment="1">
      <alignment horizontal="justify" vertical="center"/>
    </xf>
    <xf numFmtId="0" fontId="54" fillId="0" borderId="15" xfId="0" applyFont="1" applyFill="1" applyBorder="1" applyAlignment="1">
      <alignment horizontal="center" vertical="center"/>
    </xf>
    <xf numFmtId="4" fontId="41" fillId="0" borderId="15" xfId="0" applyNumberFormat="1" applyFont="1" applyFill="1" applyBorder="1" applyAlignment="1">
      <alignment horizontal="left" vertical="center"/>
    </xf>
    <xf numFmtId="0" fontId="41" fillId="0" borderId="15" xfId="0" applyFont="1" applyFill="1" applyBorder="1" applyAlignment="1">
      <alignment horizontal="left" vertical="center"/>
    </xf>
    <xf numFmtId="0" fontId="55" fillId="0" borderId="15" xfId="0" applyFont="1" applyFill="1" applyBorder="1" applyAlignment="1">
      <alignment vertical="top"/>
    </xf>
    <xf numFmtId="0" fontId="54" fillId="0" borderId="16" xfId="0" applyFont="1" applyFill="1" applyBorder="1" applyAlignment="1">
      <alignment vertical="top"/>
    </xf>
    <xf numFmtId="10"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54" fillId="0" borderId="13" xfId="0" applyFont="1" applyFill="1" applyBorder="1" applyAlignment="1">
      <alignment vertical="top"/>
    </xf>
    <xf numFmtId="0" fontId="41" fillId="21" borderId="6" xfId="0" applyFont="1" applyFill="1" applyBorder="1" applyAlignment="1">
      <alignment horizontal="center" vertical="center" wrapText="1"/>
    </xf>
    <xf numFmtId="0" fontId="55" fillId="0" borderId="15" xfId="0" applyFont="1" applyBorder="1"/>
    <xf numFmtId="0" fontId="70" fillId="0" borderId="0" xfId="0" applyFont="1" applyFill="1" applyBorder="1" applyAlignment="1">
      <alignment horizontal="center"/>
    </xf>
    <xf numFmtId="0" fontId="72" fillId="0" borderId="0" xfId="0" applyFont="1" applyFill="1" applyBorder="1" applyAlignment="1">
      <alignment vertical="center"/>
    </xf>
    <xf numFmtId="0" fontId="41" fillId="21" borderId="6" xfId="0" applyFont="1" applyFill="1" applyBorder="1" applyAlignment="1">
      <alignment horizontal="justify" vertical="center"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8" fillId="0" borderId="8" xfId="0" applyFont="1" applyBorder="1" applyAlignment="1"/>
    <xf numFmtId="0" fontId="7" fillId="0" borderId="9" xfId="0" applyFont="1" applyBorder="1" applyAlignment="1"/>
    <xf numFmtId="0" fontId="7" fillId="0" borderId="10" xfId="0" applyFont="1" applyBorder="1" applyAlignment="1"/>
    <xf numFmtId="0" fontId="8" fillId="0" borderId="15" xfId="0" applyFont="1" applyBorder="1" applyAlignment="1">
      <alignment vertical="center"/>
    </xf>
    <xf numFmtId="0" fontId="7" fillId="0" borderId="11" xfId="0" applyFont="1" applyBorder="1" applyAlignment="1"/>
    <xf numFmtId="0" fontId="8" fillId="0" borderId="15" xfId="0" applyFont="1" applyBorder="1" applyAlignment="1"/>
    <xf numFmtId="4" fontId="7" fillId="0" borderId="0" xfId="0" applyNumberFormat="1" applyFont="1" applyBorder="1" applyAlignment="1"/>
    <xf numFmtId="0" fontId="20" fillId="0" borderId="15" xfId="0" applyFont="1" applyBorder="1" applyAlignment="1"/>
    <xf numFmtId="0" fontId="20" fillId="0" borderId="0" xfId="0" applyFont="1" applyBorder="1" applyAlignment="1"/>
    <xf numFmtId="4" fontId="20" fillId="0" borderId="0" xfId="0" applyNumberFormat="1" applyFont="1" applyBorder="1" applyAlignment="1"/>
    <xf numFmtId="0" fontId="20" fillId="0" borderId="16" xfId="0" applyFont="1" applyBorder="1" applyAlignment="1"/>
    <xf numFmtId="4" fontId="20" fillId="0" borderId="13" xfId="0" applyNumberFormat="1" applyFont="1" applyBorder="1" applyAlignment="1"/>
    <xf numFmtId="0" fontId="20" fillId="0" borderId="13" xfId="0" applyFont="1" applyBorder="1" applyAlignment="1"/>
    <xf numFmtId="0" fontId="7" fillId="0" borderId="13" xfId="0" applyFont="1" applyBorder="1" applyAlignment="1"/>
    <xf numFmtId="0" fontId="7" fillId="0" borderId="14" xfId="0" applyFont="1" applyBorder="1" applyAlignment="1"/>
    <xf numFmtId="0" fontId="7" fillId="0" borderId="46" xfId="0" applyFont="1" applyBorder="1" applyAlignment="1"/>
    <xf numFmtId="0" fontId="8" fillId="0" borderId="9" xfId="0" applyFont="1" applyBorder="1" applyAlignment="1"/>
    <xf numFmtId="0" fontId="8" fillId="0" borderId="10" xfId="0" applyFont="1" applyBorder="1" applyAlignment="1"/>
    <xf numFmtId="0" fontId="20" fillId="0" borderId="11" xfId="0" applyFont="1" applyBorder="1" applyAlignment="1"/>
    <xf numFmtId="0" fontId="8" fillId="0" borderId="13" xfId="0" applyFont="1" applyBorder="1" applyAlignment="1"/>
    <xf numFmtId="0" fontId="8" fillId="0" borderId="14" xfId="0" applyFont="1" applyBorder="1" applyAlignment="1"/>
    <xf numFmtId="0" fontId="21" fillId="16" borderId="0" xfId="0" applyFont="1" applyFill="1"/>
    <xf numFmtId="167" fontId="1" fillId="17" borderId="0" xfId="0" applyNumberFormat="1" applyFont="1" applyFill="1"/>
    <xf numFmtId="0" fontId="59" fillId="0" borderId="0" xfId="0" applyFont="1" applyFill="1"/>
    <xf numFmtId="0" fontId="39" fillId="0" borderId="0" xfId="0" applyFont="1" applyFill="1"/>
    <xf numFmtId="167" fontId="0" fillId="2" borderId="0" xfId="0" applyNumberFormat="1" applyFill="1"/>
    <xf numFmtId="167" fontId="0" fillId="0" borderId="0" xfId="0" applyNumberFormat="1" applyFill="1"/>
    <xf numFmtId="167" fontId="0" fillId="17" borderId="0" xfId="0" applyNumberFormat="1" applyFill="1"/>
    <xf numFmtId="0" fontId="59" fillId="17" borderId="0" xfId="0" applyFont="1" applyFill="1"/>
    <xf numFmtId="0" fontId="1" fillId="24" borderId="0" xfId="0" applyFont="1" applyFill="1" applyAlignment="1">
      <alignment horizontal="left" vertical="center"/>
    </xf>
    <xf numFmtId="0" fontId="75" fillId="24" borderId="0" xfId="1" applyFont="1" applyFill="1"/>
    <xf numFmtId="0" fontId="75" fillId="24" borderId="0" xfId="1" applyFont="1" applyFill="1" applyAlignment="1">
      <alignment horizontal="left" vertical="center"/>
    </xf>
    <xf numFmtId="0" fontId="0" fillId="24" borderId="0" xfId="0" applyFill="1"/>
    <xf numFmtId="14" fontId="0" fillId="17" borderId="2" xfId="0" applyNumberFormat="1" applyFill="1" applyBorder="1" applyAlignment="1">
      <alignment horizontal="center" vertical="center"/>
    </xf>
    <xf numFmtId="44" fontId="59" fillId="17" borderId="2" xfId="0" applyNumberFormat="1" applyFont="1" applyFill="1" applyBorder="1" applyAlignment="1">
      <alignment horizontal="center" vertical="center"/>
    </xf>
    <xf numFmtId="44" fontId="59" fillId="0" borderId="7" xfId="0" applyNumberFormat="1" applyFont="1" applyBorder="1" applyAlignment="1">
      <alignment horizontal="center" vertical="center"/>
    </xf>
    <xf numFmtId="14" fontId="0" fillId="0" borderId="4" xfId="0" applyNumberFormat="1" applyBorder="1" applyAlignment="1">
      <alignment horizontal="center" vertical="center"/>
    </xf>
    <xf numFmtId="44" fontId="0" fillId="0" borderId="4" xfId="0" applyNumberFormat="1" applyBorder="1" applyAlignment="1">
      <alignment horizontal="center" vertical="center"/>
    </xf>
    <xf numFmtId="44" fontId="0" fillId="0" borderId="3" xfId="0" applyNumberFormat="1" applyBorder="1" applyAlignment="1">
      <alignment horizontal="center" vertical="center"/>
    </xf>
    <xf numFmtId="14" fontId="0" fillId="0" borderId="1" xfId="0" applyNumberFormat="1" applyBorder="1" applyAlignment="1">
      <alignment vertical="center"/>
    </xf>
    <xf numFmtId="44" fontId="0" fillId="0" borderId="1" xfId="0" applyNumberFormat="1" applyBorder="1" applyAlignment="1">
      <alignment vertical="center"/>
    </xf>
    <xf numFmtId="14" fontId="0" fillId="0" borderId="6" xfId="0" applyNumberFormat="1" applyBorder="1" applyAlignment="1">
      <alignment horizontal="center" vertical="center"/>
    </xf>
    <xf numFmtId="44" fontId="0" fillId="0" borderId="6" xfId="0" applyNumberFormat="1" applyBorder="1" applyAlignment="1">
      <alignment horizontal="center" vertical="center"/>
    </xf>
    <xf numFmtId="44" fontId="0" fillId="0" borderId="122" xfId="0" applyNumberFormat="1" applyBorder="1" applyAlignment="1">
      <alignment horizontal="center" vertical="center"/>
    </xf>
    <xf numFmtId="14" fontId="1" fillId="17" borderId="1" xfId="0" applyNumberFormat="1" applyFont="1" applyFill="1" applyBorder="1" applyAlignment="1">
      <alignment horizontal="center"/>
    </xf>
    <xf numFmtId="44" fontId="1" fillId="17" borderId="1" xfId="0" applyNumberFormat="1" applyFont="1" applyFill="1" applyBorder="1" applyAlignment="1">
      <alignment horizontal="center"/>
    </xf>
    <xf numFmtId="44" fontId="1" fillId="0" borderId="1" xfId="0" applyNumberFormat="1" applyFont="1" applyBorder="1"/>
    <xf numFmtId="44" fontId="1" fillId="0" borderId="1" xfId="0" applyNumberFormat="1" applyFont="1" applyFill="1" applyBorder="1"/>
    <xf numFmtId="44" fontId="59" fillId="17" borderId="118" xfId="0" applyNumberFormat="1" applyFont="1" applyFill="1" applyBorder="1" applyAlignment="1">
      <alignment horizontal="center" vertical="center"/>
    </xf>
    <xf numFmtId="44" fontId="59" fillId="0" borderId="2" xfId="0" applyNumberFormat="1" applyFont="1" applyBorder="1" applyAlignment="1">
      <alignment horizontal="center" vertical="center"/>
    </xf>
    <xf numFmtId="44" fontId="0" fillId="0" borderId="0" xfId="0" applyNumberFormat="1" applyBorder="1" applyAlignment="1">
      <alignment horizontal="center" vertical="center"/>
    </xf>
    <xf numFmtId="14" fontId="0" fillId="2" borderId="4" xfId="0" applyNumberFormat="1" applyFill="1" applyBorder="1" applyAlignment="1">
      <alignment horizontal="center" vertical="center"/>
    </xf>
    <xf numFmtId="44" fontId="0" fillId="2" borderId="0" xfId="0" applyNumberFormat="1" applyFill="1" applyBorder="1" applyAlignment="1">
      <alignment horizontal="center" vertical="center"/>
    </xf>
    <xf numFmtId="44" fontId="0" fillId="0" borderId="5" xfId="0" applyNumberFormat="1" applyBorder="1" applyAlignment="1">
      <alignment horizontal="center" vertical="center"/>
    </xf>
    <xf numFmtId="14" fontId="76" fillId="0" borderId="0" xfId="0" applyNumberFormat="1" applyFont="1" applyFill="1" applyBorder="1" applyAlignment="1">
      <alignment horizontal="center"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horizontal="center" vertical="center" wrapText="1"/>
    </xf>
    <xf numFmtId="44" fontId="0" fillId="0" borderId="2" xfId="0" applyNumberFormat="1" applyBorder="1" applyAlignment="1">
      <alignment horizontal="center" vertical="center"/>
    </xf>
    <xf numFmtId="167" fontId="0" fillId="25" borderId="0" xfId="0" applyNumberFormat="1" applyFill="1" applyBorder="1" applyAlignment="1">
      <alignment horizontal="right" vertical="center"/>
    </xf>
    <xf numFmtId="14" fontId="0" fillId="25" borderId="4" xfId="0" applyNumberFormat="1" applyFill="1" applyBorder="1" applyAlignment="1">
      <alignment horizontal="center" vertical="center"/>
    </xf>
    <xf numFmtId="0" fontId="0" fillId="0" borderId="124" xfId="0" applyBorder="1"/>
    <xf numFmtId="0" fontId="0" fillId="0" borderId="125" xfId="0" applyBorder="1"/>
    <xf numFmtId="10" fontId="17" fillId="19" borderId="126" xfId="0" applyNumberFormat="1" applyFont="1" applyFill="1" applyBorder="1"/>
    <xf numFmtId="0" fontId="0" fillId="19" borderId="127" xfId="0" applyFill="1" applyBorder="1"/>
    <xf numFmtId="0" fontId="67" fillId="19" borderId="128" xfId="0" applyFont="1" applyFill="1" applyBorder="1"/>
    <xf numFmtId="0" fontId="0" fillId="0" borderId="20" xfId="0" applyBorder="1"/>
    <xf numFmtId="0" fontId="0" fillId="0" borderId="129" xfId="0" applyBorder="1"/>
    <xf numFmtId="44" fontId="0" fillId="0" borderId="0" xfId="0" applyNumberFormat="1" applyFill="1" applyBorder="1" applyAlignment="1">
      <alignment horizontal="right" vertical="center" wrapText="1"/>
    </xf>
    <xf numFmtId="0" fontId="2" fillId="19" borderId="0" xfId="0" applyFont="1" applyFill="1"/>
    <xf numFmtId="4" fontId="2" fillId="19" borderId="0" xfId="0" applyNumberFormat="1" applyFont="1" applyFill="1"/>
    <xf numFmtId="10" fontId="1" fillId="25" borderId="0" xfId="0" applyNumberFormat="1" applyFont="1" applyFill="1" applyAlignment="1">
      <alignment horizontal="center"/>
    </xf>
    <xf numFmtId="0" fontId="0" fillId="25" borderId="0" xfId="0" applyFill="1"/>
    <xf numFmtId="0" fontId="59" fillId="25" borderId="0" xfId="0" applyFont="1" applyFill="1"/>
    <xf numFmtId="0" fontId="8" fillId="0" borderId="8" xfId="0" applyFont="1" applyFill="1" applyBorder="1" applyAlignment="1"/>
    <xf numFmtId="0" fontId="8" fillId="0" borderId="9" xfId="0" applyFont="1" applyFill="1" applyBorder="1" applyAlignment="1"/>
    <xf numFmtId="10" fontId="20" fillId="0" borderId="10" xfId="0" applyNumberFormat="1" applyFont="1" applyFill="1" applyBorder="1" applyAlignment="1"/>
    <xf numFmtId="0" fontId="8" fillId="0" borderId="15" xfId="0" applyFont="1" applyFill="1" applyBorder="1" applyAlignment="1"/>
    <xf numFmtId="0" fontId="8" fillId="0" borderId="0" xfId="0" applyFont="1" applyFill="1" applyBorder="1" applyAlignment="1"/>
    <xf numFmtId="0" fontId="8" fillId="0" borderId="11" xfId="0" applyFont="1" applyFill="1" applyBorder="1" applyAlignment="1"/>
    <xf numFmtId="0" fontId="20" fillId="0" borderId="0" xfId="0" applyFont="1" applyFill="1" applyBorder="1" applyAlignment="1"/>
    <xf numFmtId="10" fontId="20" fillId="0" borderId="0" xfId="0" applyNumberFormat="1" applyFont="1" applyFill="1" applyBorder="1" applyAlignment="1"/>
    <xf numFmtId="0" fontId="7" fillId="0" borderId="8" xfId="0" applyFont="1" applyFill="1" applyBorder="1" applyAlignment="1"/>
    <xf numFmtId="0" fontId="8" fillId="0" borderId="10" xfId="0" applyFont="1" applyFill="1" applyBorder="1" applyAlignment="1"/>
    <xf numFmtId="0" fontId="45" fillId="0" borderId="15" xfId="0" applyFont="1" applyFill="1" applyBorder="1" applyAlignment="1"/>
    <xf numFmtId="0" fontId="45" fillId="0" borderId="0" xfId="0" applyFont="1" applyFill="1" applyBorder="1" applyAlignment="1"/>
    <xf numFmtId="4" fontId="45" fillId="0" borderId="0" xfId="0" applyNumberFormat="1" applyFont="1" applyFill="1" applyBorder="1" applyAlignment="1"/>
    <xf numFmtId="0" fontId="7" fillId="0" borderId="0" xfId="0" applyFont="1" applyFill="1" applyBorder="1" applyAlignment="1"/>
    <xf numFmtId="0" fontId="7" fillId="0" borderId="15" xfId="0" applyFont="1" applyFill="1" applyBorder="1" applyAlignment="1"/>
    <xf numFmtId="4" fontId="7" fillId="0" borderId="0" xfId="0" applyNumberFormat="1" applyFont="1" applyFill="1" applyBorder="1" applyAlignment="1"/>
    <xf numFmtId="0" fontId="7" fillId="0" borderId="15" xfId="0" applyFont="1" applyBorder="1"/>
    <xf numFmtId="0" fontId="7" fillId="0" borderId="0" xfId="0" applyFont="1" applyBorder="1"/>
    <xf numFmtId="4" fontId="7" fillId="0" borderId="11" xfId="0" applyNumberFormat="1" applyFont="1" applyBorder="1" applyAlignment="1"/>
    <xf numFmtId="0" fontId="20" fillId="0" borderId="15" xfId="0" applyFont="1" applyBorder="1"/>
    <xf numFmtId="4" fontId="20" fillId="0" borderId="11" xfId="0" applyNumberFormat="1" applyFont="1" applyBorder="1" applyAlignment="1"/>
    <xf numFmtId="0" fontId="16" fillId="0" borderId="16" xfId="0" applyFont="1" applyBorder="1"/>
    <xf numFmtId="0" fontId="16" fillId="0" borderId="13" xfId="0" applyFont="1" applyBorder="1"/>
    <xf numFmtId="0" fontId="16" fillId="0" borderId="13" xfId="0" applyFont="1" applyBorder="1" applyAlignment="1"/>
    <xf numFmtId="4" fontId="16" fillId="0" borderId="14" xfId="0" applyNumberFormat="1" applyFont="1" applyBorder="1" applyAlignment="1"/>
    <xf numFmtId="4" fontId="19" fillId="0" borderId="14" xfId="0" applyNumberFormat="1" applyFont="1" applyBorder="1"/>
    <xf numFmtId="0" fontId="5" fillId="0" borderId="28" xfId="0" applyFont="1" applyBorder="1"/>
    <xf numFmtId="0" fontId="6" fillId="0" borderId="29" xfId="0" applyFont="1" applyBorder="1"/>
    <xf numFmtId="0" fontId="81" fillId="0" borderId="29" xfId="0" applyFont="1" applyBorder="1"/>
    <xf numFmtId="0" fontId="6" fillId="0" borderId="30" xfId="0" applyFont="1" applyBorder="1"/>
    <xf numFmtId="0" fontId="5" fillId="0" borderId="116" xfId="0" applyFont="1" applyBorder="1"/>
    <xf numFmtId="0" fontId="6" fillId="0" borderId="27" xfId="0" applyFont="1" applyBorder="1"/>
    <xf numFmtId="10" fontId="32" fillId="0" borderId="27" xfId="0" applyNumberFormat="1" applyFont="1" applyBorder="1"/>
    <xf numFmtId="10" fontId="43" fillId="0" borderId="1" xfId="0" applyNumberFormat="1" applyFont="1" applyBorder="1"/>
    <xf numFmtId="10" fontId="82" fillId="0" borderId="1" xfId="0" applyNumberFormat="1" applyFont="1" applyBorder="1"/>
    <xf numFmtId="10" fontId="43" fillId="0" borderId="88" xfId="0" applyNumberFormat="1" applyFont="1" applyBorder="1"/>
    <xf numFmtId="0" fontId="6" fillId="17" borderId="10" xfId="0" applyFont="1" applyFill="1" applyBorder="1"/>
    <xf numFmtId="0" fontId="5" fillId="0" borderId="115" xfId="0" applyFont="1" applyBorder="1"/>
    <xf numFmtId="0" fontId="81" fillId="0" borderId="5" xfId="0" applyFont="1" applyBorder="1"/>
    <xf numFmtId="0" fontId="5" fillId="17" borderId="15" xfId="0" applyFont="1" applyFill="1" applyBorder="1" applyAlignment="1"/>
    <xf numFmtId="0" fontId="6" fillId="17" borderId="0" xfId="0" applyFont="1" applyFill="1" applyBorder="1" applyAlignment="1"/>
    <xf numFmtId="0" fontId="6" fillId="17" borderId="11" xfId="0" applyFont="1" applyFill="1" applyBorder="1"/>
    <xf numFmtId="0" fontId="5" fillId="0" borderId="12" xfId="0" applyFont="1" applyBorder="1" applyAlignment="1">
      <alignment horizontal="right"/>
    </xf>
    <xf numFmtId="0" fontId="6" fillId="0" borderId="6" xfId="0" applyFont="1" applyBorder="1"/>
    <xf numFmtId="10" fontId="6" fillId="14" borderId="6" xfId="0" applyNumberFormat="1" applyFont="1" applyFill="1" applyBorder="1"/>
    <xf numFmtId="10" fontId="6" fillId="0" borderId="6" xfId="0" applyNumberFormat="1" applyFont="1" applyBorder="1"/>
    <xf numFmtId="10" fontId="6" fillId="0" borderId="18" xfId="0" applyNumberFormat="1" applyFont="1" applyBorder="1"/>
    <xf numFmtId="0" fontId="6" fillId="17" borderId="14" xfId="0" applyFont="1" applyFill="1" applyBorder="1"/>
    <xf numFmtId="10" fontId="42" fillId="0" borderId="0" xfId="0" applyNumberFormat="1" applyFont="1" applyBorder="1"/>
    <xf numFmtId="0" fontId="6" fillId="0" borderId="15" xfId="0" applyFont="1" applyBorder="1" applyAlignment="1">
      <alignment horizontal="center"/>
    </xf>
    <xf numFmtId="167" fontId="6" fillId="0" borderId="0" xfId="0" applyNumberFormat="1" applyFont="1" applyBorder="1"/>
    <xf numFmtId="0" fontId="5" fillId="0" borderId="15" xfId="0" applyFont="1" applyBorder="1" applyAlignment="1">
      <alignment horizontal="center"/>
    </xf>
    <xf numFmtId="0" fontId="43" fillId="0" borderId="15" xfId="0" applyFont="1" applyBorder="1" applyAlignment="1">
      <alignment horizontal="center"/>
    </xf>
    <xf numFmtId="0" fontId="6" fillId="0" borderId="16" xfId="0" applyFont="1" applyBorder="1" applyAlignment="1">
      <alignment horizontal="center"/>
    </xf>
    <xf numFmtId="0" fontId="19" fillId="0" borderId="16" xfId="0" applyFont="1" applyBorder="1" applyAlignment="1">
      <alignment horizontal="center"/>
    </xf>
    <xf numFmtId="167" fontId="19" fillId="0" borderId="13" xfId="0" applyNumberFormat="1" applyFont="1" applyBorder="1"/>
    <xf numFmtId="0" fontId="40" fillId="0" borderId="13" xfId="0" applyFont="1" applyBorder="1"/>
    <xf numFmtId="0" fontId="40" fillId="0" borderId="14" xfId="0" applyFont="1" applyBorder="1"/>
    <xf numFmtId="0" fontId="70" fillId="15" borderId="44" xfId="0" applyFont="1" applyFill="1" applyBorder="1" applyAlignment="1"/>
    <xf numFmtId="0" fontId="70" fillId="0" borderId="0" xfId="0" applyFont="1" applyFill="1" applyBorder="1" applyAlignment="1"/>
    <xf numFmtId="0" fontId="6" fillId="0" borderId="0" xfId="0" applyFont="1" applyBorder="1" applyAlignment="1">
      <alignment horizontal="left" wrapText="1"/>
    </xf>
    <xf numFmtId="0" fontId="6" fillId="0" borderId="11" xfId="0" applyFont="1" applyBorder="1" applyAlignment="1">
      <alignment horizontal="left" wrapText="1"/>
    </xf>
    <xf numFmtId="0" fontId="5" fillId="0" borderId="0"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8" fillId="5" borderId="41" xfId="0" applyFont="1" applyFill="1" applyBorder="1" applyAlignment="1">
      <alignment horizontal="left" vertical="center" wrapText="1"/>
    </xf>
    <xf numFmtId="0" fontId="8" fillId="5" borderId="56" xfId="0"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8" fillId="5" borderId="55" xfId="0" applyFont="1" applyFill="1" applyBorder="1" applyAlignment="1">
      <alignment horizontal="left" vertical="center" wrapText="1"/>
    </xf>
    <xf numFmtId="0" fontId="8" fillId="5" borderId="58" xfId="0" applyFont="1" applyFill="1" applyBorder="1" applyAlignment="1">
      <alignment horizontal="left" vertical="center" wrapText="1"/>
    </xf>
    <xf numFmtId="0" fontId="5" fillId="0" borderId="63" xfId="0" applyFont="1" applyBorder="1" applyAlignment="1">
      <alignment horizontal="center"/>
    </xf>
    <xf numFmtId="0" fontId="5" fillId="0" borderId="57" xfId="0" applyFont="1" applyBorder="1" applyAlignment="1">
      <alignment horizontal="center"/>
    </xf>
    <xf numFmtId="0" fontId="19" fillId="0" borderId="67" xfId="0" applyFont="1" applyBorder="1" applyAlignment="1">
      <alignment horizontal="center"/>
    </xf>
    <xf numFmtId="0" fontId="19" fillId="0" borderId="68" xfId="0" applyFont="1" applyBorder="1" applyAlignment="1">
      <alignment horizontal="center"/>
    </xf>
    <xf numFmtId="0" fontId="14" fillId="0" borderId="41"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19" fillId="0" borderId="71" xfId="0" applyFont="1" applyBorder="1" applyAlignment="1">
      <alignment horizontal="center"/>
    </xf>
    <xf numFmtId="0" fontId="19" fillId="0" borderId="72" xfId="0" applyFont="1" applyBorder="1" applyAlignment="1">
      <alignment horizontal="center"/>
    </xf>
    <xf numFmtId="0" fontId="19" fillId="0" borderId="63" xfId="0" applyFont="1" applyBorder="1" applyAlignment="1">
      <alignment horizontal="center"/>
    </xf>
    <xf numFmtId="0" fontId="19" fillId="0" borderId="57" xfId="0" applyFont="1" applyBorder="1" applyAlignment="1">
      <alignment horizontal="center"/>
    </xf>
    <xf numFmtId="0" fontId="5" fillId="0" borderId="32" xfId="0" applyFont="1" applyBorder="1" applyAlignment="1">
      <alignment horizontal="center" wrapText="1"/>
    </xf>
    <xf numFmtId="0" fontId="5" fillId="0" borderId="9" xfId="0" applyFont="1" applyBorder="1" applyAlignment="1">
      <alignment horizont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10" fillId="4" borderId="50" xfId="0" applyFont="1" applyFill="1" applyBorder="1" applyAlignment="1">
      <alignment horizontal="center" vertical="center" wrapText="1"/>
    </xf>
    <xf numFmtId="0" fontId="5" fillId="0" borderId="44" xfId="0" applyFont="1" applyFill="1" applyBorder="1" applyAlignment="1">
      <alignment horizontal="center" wrapText="1"/>
    </xf>
    <xf numFmtId="0" fontId="5" fillId="0" borderId="45" xfId="0" applyFont="1" applyFill="1" applyBorder="1" applyAlignment="1">
      <alignment horizontal="center" wrapText="1"/>
    </xf>
    <xf numFmtId="0" fontId="5" fillId="0" borderId="46" xfId="0" applyFont="1" applyFill="1" applyBorder="1" applyAlignment="1">
      <alignment horizontal="center" wrapText="1"/>
    </xf>
    <xf numFmtId="0" fontId="5" fillId="0" borderId="44" xfId="0" applyFont="1" applyFill="1" applyBorder="1" applyAlignment="1">
      <alignment horizontal="center"/>
    </xf>
    <xf numFmtId="0" fontId="5" fillId="0" borderId="45" xfId="0" applyFont="1" applyFill="1" applyBorder="1" applyAlignment="1">
      <alignment horizontal="center"/>
    </xf>
    <xf numFmtId="0" fontId="5" fillId="0" borderId="46" xfId="0" applyFont="1" applyFill="1" applyBorder="1" applyAlignment="1">
      <alignment horizontal="center"/>
    </xf>
    <xf numFmtId="0" fontId="41" fillId="0" borderId="8" xfId="0" applyFont="1" applyBorder="1" applyAlignment="1">
      <alignment horizontal="left" wrapText="1"/>
    </xf>
    <xf numFmtId="0" fontId="41" fillId="0" borderId="9" xfId="0" applyFont="1" applyBorder="1" applyAlignment="1">
      <alignment horizontal="left" wrapText="1"/>
    </xf>
    <xf numFmtId="0" fontId="41" fillId="0" borderId="10" xfId="0" applyFont="1" applyBorder="1" applyAlignment="1">
      <alignment horizontal="left" wrapText="1"/>
    </xf>
    <xf numFmtId="0" fontId="41" fillId="0" borderId="15" xfId="0" applyFont="1" applyBorder="1" applyAlignment="1">
      <alignment horizontal="left" wrapText="1"/>
    </xf>
    <xf numFmtId="0" fontId="41" fillId="0" borderId="0" xfId="0" applyFont="1" applyBorder="1" applyAlignment="1">
      <alignment horizontal="left" wrapText="1"/>
    </xf>
    <xf numFmtId="0" fontId="41" fillId="0" borderId="11" xfId="0" applyFont="1" applyBorder="1" applyAlignment="1">
      <alignment horizontal="left" wrapText="1"/>
    </xf>
    <xf numFmtId="0" fontId="41" fillId="0" borderId="16" xfId="0" applyFont="1" applyBorder="1" applyAlignment="1">
      <alignment horizontal="left" wrapText="1"/>
    </xf>
    <xf numFmtId="0" fontId="41" fillId="0" borderId="13" xfId="0" applyFont="1" applyBorder="1" applyAlignment="1">
      <alignment horizontal="left" wrapText="1"/>
    </xf>
    <xf numFmtId="0" fontId="41" fillId="0" borderId="14" xfId="0" applyFont="1" applyBorder="1" applyAlignment="1">
      <alignment horizontal="left" wrapText="1"/>
    </xf>
    <xf numFmtId="0" fontId="43" fillId="0" borderId="8" xfId="0" applyFont="1" applyFill="1" applyBorder="1" applyAlignment="1">
      <alignment horizontal="left" wrapText="1"/>
    </xf>
    <xf numFmtId="0" fontId="43" fillId="0" borderId="9" xfId="0" applyFont="1" applyFill="1" applyBorder="1" applyAlignment="1">
      <alignment horizontal="left" wrapText="1"/>
    </xf>
    <xf numFmtId="0" fontId="43" fillId="0" borderId="10" xfId="0" applyFont="1" applyFill="1" applyBorder="1" applyAlignment="1">
      <alignment horizontal="left" wrapText="1"/>
    </xf>
    <xf numFmtId="0" fontId="43" fillId="0" borderId="15" xfId="0" applyFont="1" applyFill="1" applyBorder="1" applyAlignment="1">
      <alignment horizontal="left" wrapText="1"/>
    </xf>
    <xf numFmtId="0" fontId="43" fillId="0" borderId="0" xfId="0" applyFont="1" applyFill="1" applyBorder="1" applyAlignment="1">
      <alignment horizontal="left" wrapText="1"/>
    </xf>
    <xf numFmtId="0" fontId="43" fillId="0" borderId="11" xfId="0" applyFont="1" applyFill="1" applyBorder="1" applyAlignment="1">
      <alignment horizontal="left" wrapText="1"/>
    </xf>
    <xf numFmtId="0" fontId="43" fillId="0" borderId="16" xfId="0" applyFont="1" applyFill="1" applyBorder="1" applyAlignment="1">
      <alignment horizontal="left" wrapText="1"/>
    </xf>
    <xf numFmtId="0" fontId="43" fillId="0" borderId="13" xfId="0" applyFont="1" applyFill="1" applyBorder="1" applyAlignment="1">
      <alignment horizontal="left" wrapText="1"/>
    </xf>
    <xf numFmtId="0" fontId="43" fillId="0" borderId="14" xfId="0" applyFont="1" applyFill="1" applyBorder="1" applyAlignment="1">
      <alignment horizontal="left" wrapText="1"/>
    </xf>
    <xf numFmtId="0" fontId="36" fillId="7" borderId="77" xfId="0" applyFont="1" applyFill="1" applyBorder="1" applyAlignment="1">
      <alignment horizontal="center" vertical="center" wrapText="1"/>
    </xf>
    <xf numFmtId="0" fontId="36" fillId="7" borderId="78" xfId="0" applyFont="1" applyFill="1" applyBorder="1" applyAlignment="1">
      <alignment horizontal="center" vertical="center" wrapText="1"/>
    </xf>
    <xf numFmtId="0" fontId="36" fillId="7" borderId="34" xfId="0" applyFont="1" applyFill="1" applyBorder="1" applyAlignment="1">
      <alignment vertical="center" wrapText="1"/>
    </xf>
    <xf numFmtId="0" fontId="36" fillId="7" borderId="36" xfId="0" applyFont="1" applyFill="1" applyBorder="1" applyAlignment="1">
      <alignment vertical="center" wrapText="1"/>
    </xf>
    <xf numFmtId="0" fontId="36" fillId="7" borderId="40" xfId="0" applyFont="1" applyFill="1" applyBorder="1" applyAlignment="1">
      <alignment vertical="center" wrapText="1"/>
    </xf>
    <xf numFmtId="0" fontId="5" fillId="0" borderId="39" xfId="0" applyFont="1" applyBorder="1" applyAlignment="1">
      <alignment horizontal="left" vertic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8" fillId="0" borderId="15" xfId="0" applyFont="1" applyBorder="1" applyAlignment="1">
      <alignment horizontal="left"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8" fillId="0" borderId="16"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7" fillId="0" borderId="8"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0" fillId="0" borderId="16" xfId="0" applyFont="1" applyBorder="1" applyAlignment="1">
      <alignment horizontal="left" wrapText="1"/>
    </xf>
    <xf numFmtId="0" fontId="20" fillId="0" borderId="13" xfId="0" applyFont="1" applyBorder="1" applyAlignment="1">
      <alignment horizontal="left" wrapText="1"/>
    </xf>
    <xf numFmtId="0" fontId="20" fillId="0" borderId="15" xfId="0" applyFont="1" applyBorder="1" applyAlignment="1">
      <alignment horizontal="left" wrapText="1"/>
    </xf>
    <xf numFmtId="0" fontId="20" fillId="0" borderId="0" xfId="0" applyFont="1" applyBorder="1" applyAlignment="1">
      <alignment horizontal="left" wrapText="1"/>
    </xf>
    <xf numFmtId="0" fontId="34" fillId="7" borderId="57" xfId="0" applyFont="1" applyFill="1" applyBorder="1" applyAlignment="1">
      <alignment horizontal="center" vertical="center" wrapText="1"/>
    </xf>
    <xf numFmtId="44" fontId="35" fillId="0" borderId="57" xfId="0" applyNumberFormat="1" applyFont="1" applyBorder="1" applyAlignment="1">
      <alignment horizontal="center" vertical="center" wrapText="1"/>
    </xf>
    <xf numFmtId="0" fontId="35" fillId="0" borderId="57" xfId="0" applyFont="1" applyBorder="1" applyAlignment="1">
      <alignment horizontal="center" vertical="center" wrapText="1"/>
    </xf>
    <xf numFmtId="42" fontId="35" fillId="0" borderId="57" xfId="0" applyNumberFormat="1" applyFont="1" applyBorder="1" applyAlignment="1">
      <alignment horizontal="center" vertical="center" wrapText="1"/>
    </xf>
    <xf numFmtId="0" fontId="5" fillId="0" borderId="0" xfId="0" applyFont="1" applyBorder="1" applyAlignment="1">
      <alignment horizontal="left" vertical="center" wrapText="1"/>
    </xf>
    <xf numFmtId="0" fontId="28" fillId="15" borderId="8" xfId="0" applyFont="1" applyFill="1" applyBorder="1" applyAlignment="1">
      <alignment horizontal="center" wrapText="1"/>
    </xf>
    <xf numFmtId="0" fontId="28" fillId="15" borderId="9" xfId="0" applyFont="1" applyFill="1" applyBorder="1" applyAlignment="1">
      <alignment horizontal="center" wrapText="1"/>
    </xf>
    <xf numFmtId="0" fontId="28" fillId="15" borderId="10" xfId="0" applyFont="1" applyFill="1" applyBorder="1" applyAlignment="1">
      <alignment horizontal="center" wrapText="1"/>
    </xf>
    <xf numFmtId="0" fontId="28" fillId="15" borderId="15" xfId="0" applyFont="1" applyFill="1" applyBorder="1" applyAlignment="1">
      <alignment horizontal="center" wrapText="1"/>
    </xf>
    <xf numFmtId="0" fontId="28" fillId="15" borderId="0" xfId="0" applyFont="1" applyFill="1" applyBorder="1" applyAlignment="1">
      <alignment horizontal="center" wrapText="1"/>
    </xf>
    <xf numFmtId="0" fontId="28" fillId="15" borderId="11" xfId="0" applyFont="1" applyFill="1" applyBorder="1" applyAlignment="1">
      <alignment horizontal="center" wrapText="1"/>
    </xf>
    <xf numFmtId="0" fontId="28" fillId="15" borderId="16" xfId="0" applyFont="1" applyFill="1" applyBorder="1" applyAlignment="1">
      <alignment horizontal="center" wrapText="1"/>
    </xf>
    <xf numFmtId="0" fontId="28" fillId="15" borderId="13" xfId="0" applyFont="1" applyFill="1" applyBorder="1" applyAlignment="1">
      <alignment horizontal="center" wrapText="1"/>
    </xf>
    <xf numFmtId="0" fontId="28" fillId="15" borderId="14" xfId="0" applyFont="1" applyFill="1" applyBorder="1" applyAlignment="1">
      <alignment horizontal="center" wrapText="1"/>
    </xf>
    <xf numFmtId="0" fontId="7" fillId="0" borderId="4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4" fillId="2" borderId="44"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6" xfId="0" applyFont="1" applyFill="1" applyBorder="1" applyAlignment="1">
      <alignment horizontal="center" vertical="center"/>
    </xf>
    <xf numFmtId="0" fontId="70" fillId="15" borderId="44" xfId="0" applyFont="1" applyFill="1" applyBorder="1" applyAlignment="1">
      <alignment horizontal="center"/>
    </xf>
    <xf numFmtId="0" fontId="70" fillId="15" borderId="45" xfId="0" applyFont="1" applyFill="1" applyBorder="1" applyAlignment="1">
      <alignment horizontal="center"/>
    </xf>
    <xf numFmtId="0" fontId="70" fillId="15" borderId="46" xfId="0" applyFont="1" applyFill="1" applyBorder="1" applyAlignment="1">
      <alignment horizontal="center"/>
    </xf>
    <xf numFmtId="0" fontId="72" fillId="16" borderId="44" xfId="0" applyFont="1" applyFill="1" applyBorder="1" applyAlignment="1">
      <alignment horizontal="center"/>
    </xf>
    <xf numFmtId="0" fontId="72" fillId="16" borderId="45" xfId="0" applyFont="1" applyFill="1" applyBorder="1" applyAlignment="1">
      <alignment horizontal="center"/>
    </xf>
    <xf numFmtId="0" fontId="72" fillId="16" borderId="46" xfId="0" applyFont="1" applyFill="1" applyBorder="1" applyAlignment="1">
      <alignment horizont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44" fillId="0" borderId="8" xfId="0" applyFont="1" applyBorder="1" applyAlignment="1">
      <alignment horizontal="left" vertical="center"/>
    </xf>
    <xf numFmtId="0" fontId="44" fillId="0" borderId="9" xfId="0" applyFont="1" applyBorder="1" applyAlignment="1">
      <alignment horizontal="left" vertical="center"/>
    </xf>
    <xf numFmtId="0" fontId="44" fillId="0" borderId="10" xfId="0" applyFont="1" applyBorder="1" applyAlignment="1">
      <alignment horizontal="left" vertical="center"/>
    </xf>
    <xf numFmtId="0" fontId="5" fillId="0" borderId="44" xfId="0" applyFont="1" applyFill="1" applyBorder="1" applyAlignment="1">
      <alignment horizontal="center" vertical="center"/>
    </xf>
    <xf numFmtId="0" fontId="44" fillId="0" borderId="8" xfId="0" applyFont="1" applyBorder="1" applyAlignment="1">
      <alignment vertical="center" wrapText="1" readingOrder="1"/>
    </xf>
    <xf numFmtId="0" fontId="44" fillId="0" borderId="9" xfId="0" applyFont="1" applyBorder="1" applyAlignment="1">
      <alignment vertical="center" wrapText="1" readingOrder="1"/>
    </xf>
    <xf numFmtId="0" fontId="44" fillId="0" borderId="10" xfId="0" applyFont="1" applyBorder="1" applyAlignment="1">
      <alignment vertical="center" wrapText="1" readingOrder="1"/>
    </xf>
    <xf numFmtId="0" fontId="44" fillId="0" borderId="15" xfId="0" applyFont="1" applyBorder="1" applyAlignment="1">
      <alignment vertical="center" wrapText="1" readingOrder="1"/>
    </xf>
    <xf numFmtId="0" fontId="44" fillId="0" borderId="0" xfId="0" applyFont="1" applyBorder="1" applyAlignment="1">
      <alignment vertical="center" wrapText="1" readingOrder="1"/>
    </xf>
    <xf numFmtId="0" fontId="44" fillId="0" borderId="11" xfId="0" applyFont="1" applyBorder="1" applyAlignment="1">
      <alignment vertical="center" wrapText="1" readingOrder="1"/>
    </xf>
    <xf numFmtId="0" fontId="44" fillId="0" borderId="16" xfId="0" applyFont="1" applyBorder="1" applyAlignment="1">
      <alignment vertical="center" wrapText="1" readingOrder="1"/>
    </xf>
    <xf numFmtId="0" fontId="44" fillId="0" borderId="13" xfId="0" applyFont="1" applyBorder="1" applyAlignment="1">
      <alignment vertical="center" wrapText="1" readingOrder="1"/>
    </xf>
    <xf numFmtId="0" fontId="44" fillId="0" borderId="14" xfId="0" applyFont="1" applyBorder="1" applyAlignment="1">
      <alignment vertical="center" wrapText="1" readingOrder="1"/>
    </xf>
    <xf numFmtId="0" fontId="45" fillId="0" borderId="8" xfId="0" applyFont="1" applyBorder="1" applyAlignment="1">
      <alignment horizontal="left" vertical="center"/>
    </xf>
    <xf numFmtId="0" fontId="45" fillId="0" borderId="9" xfId="0" applyFont="1" applyBorder="1" applyAlignment="1">
      <alignment horizontal="left" vertical="center"/>
    </xf>
    <xf numFmtId="0" fontId="45" fillId="0" borderId="10" xfId="0" applyFont="1" applyBorder="1" applyAlignment="1">
      <alignment horizontal="left" vertical="center"/>
    </xf>
    <xf numFmtId="0" fontId="41" fillId="0" borderId="44" xfId="0" applyFont="1" applyFill="1" applyBorder="1" applyAlignment="1">
      <alignment horizontal="center"/>
    </xf>
    <xf numFmtId="0" fontId="41" fillId="0" borderId="45" xfId="0" applyFont="1" applyFill="1" applyBorder="1" applyAlignment="1">
      <alignment horizontal="center"/>
    </xf>
    <xf numFmtId="0" fontId="41" fillId="0" borderId="46" xfId="0" applyFont="1" applyFill="1" applyBorder="1" applyAlignment="1">
      <alignment horizontal="center"/>
    </xf>
    <xf numFmtId="0" fontId="44" fillId="0" borderId="15" xfId="0" applyFont="1" applyBorder="1" applyAlignment="1">
      <alignment horizontal="left" vertical="center" wrapText="1" readingOrder="1"/>
    </xf>
    <xf numFmtId="0" fontId="44" fillId="0" borderId="0" xfId="0" applyFont="1" applyBorder="1" applyAlignment="1">
      <alignment horizontal="left" vertical="center" wrapText="1" readingOrder="1"/>
    </xf>
    <xf numFmtId="0" fontId="44" fillId="0" borderId="11" xfId="0" applyFont="1" applyBorder="1" applyAlignment="1">
      <alignment horizontal="left" vertical="center" wrapText="1" readingOrder="1"/>
    </xf>
    <xf numFmtId="0" fontId="44" fillId="0" borderId="16" xfId="0" applyFont="1" applyBorder="1" applyAlignment="1">
      <alignment horizontal="left" vertical="center" wrapText="1" readingOrder="1"/>
    </xf>
    <xf numFmtId="0" fontId="44" fillId="0" borderId="13" xfId="0" applyFont="1" applyBorder="1" applyAlignment="1">
      <alignment horizontal="left" vertical="center" wrapText="1" readingOrder="1"/>
    </xf>
    <xf numFmtId="0" fontId="44" fillId="0" borderId="14" xfId="0" applyFont="1" applyBorder="1" applyAlignment="1">
      <alignment horizontal="left" vertical="center" wrapText="1" readingOrder="1"/>
    </xf>
    <xf numFmtId="0" fontId="41" fillId="0" borderId="8" xfId="0" applyFont="1" applyFill="1" applyBorder="1" applyAlignment="1">
      <alignment horizontal="center"/>
    </xf>
    <xf numFmtId="0" fontId="41" fillId="0" borderId="9" xfId="0" applyFont="1" applyFill="1" applyBorder="1" applyAlignment="1">
      <alignment horizontal="center"/>
    </xf>
    <xf numFmtId="0" fontId="41" fillId="0" borderId="10" xfId="0" applyFont="1" applyFill="1" applyBorder="1" applyAlignment="1">
      <alignment horizontal="center"/>
    </xf>
    <xf numFmtId="0" fontId="42" fillId="0" borderId="16"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14" xfId="0" applyFont="1" applyFill="1" applyBorder="1" applyAlignment="1">
      <alignment horizontal="left" vertical="center"/>
    </xf>
    <xf numFmtId="0" fontId="19" fillId="8" borderId="113" xfId="0" applyFont="1" applyFill="1" applyBorder="1" applyAlignment="1">
      <alignment horizontal="left" vertical="center"/>
    </xf>
    <xf numFmtId="0" fontId="19" fillId="8" borderId="114" xfId="0" applyFont="1" applyFill="1" applyBorder="1" applyAlignment="1">
      <alignment horizontal="left" vertical="center"/>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5" xfId="0" applyFont="1" applyBorder="1" applyAlignment="1">
      <alignment horizontal="left" vertical="center" wrapText="1"/>
    </xf>
    <xf numFmtId="0" fontId="48" fillId="0" borderId="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6"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44" fontId="19" fillId="0" borderId="13" xfId="0" applyNumberFormat="1" applyFont="1" applyBorder="1" applyAlignment="1">
      <alignment horizont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10" fillId="7" borderId="86" xfId="0" applyFont="1" applyFill="1" applyBorder="1" applyAlignment="1">
      <alignment horizontal="center"/>
    </xf>
    <xf numFmtId="0" fontId="6" fillId="0" borderId="15" xfId="0" applyFont="1" applyBorder="1" applyAlignment="1">
      <alignment horizontal="left"/>
    </xf>
    <xf numFmtId="0" fontId="6" fillId="0" borderId="0" xfId="0" applyFont="1" applyBorder="1" applyAlignment="1">
      <alignment horizontal="left"/>
    </xf>
    <xf numFmtId="0" fontId="10" fillId="7" borderId="9" xfId="0" applyFont="1" applyFill="1" applyBorder="1" applyAlignment="1">
      <alignment horizontal="center"/>
    </xf>
    <xf numFmtId="0" fontId="70" fillId="15" borderId="8" xfId="0" applyFont="1" applyFill="1" applyBorder="1" applyAlignment="1">
      <alignment horizontal="center" vertical="center"/>
    </xf>
    <xf numFmtId="0" fontId="70" fillId="15" borderId="9" xfId="0" applyFont="1" applyFill="1" applyBorder="1" applyAlignment="1">
      <alignment horizontal="center" vertical="center"/>
    </xf>
    <xf numFmtId="0" fontId="70" fillId="15" borderId="10" xfId="0" applyFont="1" applyFill="1" applyBorder="1" applyAlignment="1">
      <alignment horizontal="center" vertical="center"/>
    </xf>
    <xf numFmtId="0" fontId="72" fillId="16" borderId="44" xfId="0" applyFont="1" applyFill="1" applyBorder="1" applyAlignment="1">
      <alignment horizontal="center" vertical="center"/>
    </xf>
    <xf numFmtId="0" fontId="72" fillId="16" borderId="45" xfId="0" applyFont="1" applyFill="1" applyBorder="1" applyAlignment="1">
      <alignment horizontal="center" vertical="center"/>
    </xf>
    <xf numFmtId="0" fontId="72" fillId="16" borderId="46" xfId="0" applyFont="1" applyFill="1" applyBorder="1" applyAlignment="1">
      <alignment horizontal="center" vertical="center"/>
    </xf>
    <xf numFmtId="0" fontId="7" fillId="0" borderId="15"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6" fillId="0" borderId="15"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44" fillId="0" borderId="8" xfId="0" applyFont="1" applyBorder="1" applyAlignment="1">
      <alignment horizontal="left" vertical="center" wrapText="1" readingOrder="1"/>
    </xf>
    <xf numFmtId="0" fontId="44" fillId="0" borderId="9" xfId="0" applyFont="1" applyBorder="1" applyAlignment="1">
      <alignment horizontal="left" vertical="center" wrapText="1" readingOrder="1"/>
    </xf>
    <xf numFmtId="0" fontId="44" fillId="0" borderId="10" xfId="0" applyFont="1" applyBorder="1" applyAlignment="1">
      <alignment horizontal="left" vertical="center" wrapText="1" readingOrder="1"/>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78" fillId="0" borderId="8" xfId="0" applyFont="1" applyBorder="1" applyAlignment="1">
      <alignment horizontal="left" vertical="center" wrapText="1"/>
    </xf>
    <xf numFmtId="0" fontId="78" fillId="0" borderId="9" xfId="0" applyFont="1" applyBorder="1" applyAlignment="1">
      <alignment horizontal="left" vertical="center" wrapText="1"/>
    </xf>
    <xf numFmtId="0" fontId="78" fillId="0" borderId="10" xfId="0" applyFont="1" applyBorder="1" applyAlignment="1">
      <alignment horizontal="left" vertical="center" wrapText="1"/>
    </xf>
    <xf numFmtId="0" fontId="78" fillId="0" borderId="15" xfId="0" applyFont="1" applyBorder="1" applyAlignment="1">
      <alignment horizontal="left" vertical="center" wrapText="1"/>
    </xf>
    <xf numFmtId="0" fontId="78" fillId="0" borderId="0" xfId="0" applyFont="1" applyBorder="1" applyAlignment="1">
      <alignment horizontal="left" vertical="center" wrapText="1"/>
    </xf>
    <xf numFmtId="0" fontId="78" fillId="0" borderId="11" xfId="0" applyFont="1" applyBorder="1" applyAlignment="1">
      <alignment horizontal="left" vertical="center" wrapText="1"/>
    </xf>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78" fillId="0" borderId="14" xfId="0" applyFont="1" applyBorder="1" applyAlignment="1">
      <alignment horizontal="left" vertical="center"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7" fillId="0" borderId="44" xfId="0" applyFont="1" applyBorder="1" applyAlignment="1">
      <alignment horizontal="left"/>
    </xf>
    <xf numFmtId="0" fontId="7" fillId="0" borderId="45" xfId="0" applyFont="1" applyBorder="1" applyAlignment="1">
      <alignment horizontal="left"/>
    </xf>
    <xf numFmtId="0" fontId="7" fillId="0" borderId="46" xfId="0" applyFont="1" applyBorder="1" applyAlignment="1">
      <alignment horizontal="left"/>
    </xf>
    <xf numFmtId="0" fontId="65" fillId="0" borderId="44" xfId="0" applyFont="1" applyFill="1" applyBorder="1" applyAlignment="1">
      <alignment horizontal="center"/>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6"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5" fillId="0" borderId="0" xfId="0" applyFont="1" applyBorder="1" applyAlignment="1">
      <alignment horizontal="left"/>
    </xf>
    <xf numFmtId="0" fontId="5" fillId="0" borderId="11" xfId="0" applyFont="1" applyBorder="1" applyAlignment="1">
      <alignment horizontal="left"/>
    </xf>
    <xf numFmtId="0" fontId="43" fillId="0" borderId="8" xfId="0" applyFont="1" applyBorder="1" applyAlignment="1">
      <alignment horizontal="left" vertical="center" wrapText="1" readingOrder="1"/>
    </xf>
    <xf numFmtId="0" fontId="43" fillId="0" borderId="9" xfId="0" applyFont="1" applyBorder="1" applyAlignment="1">
      <alignment horizontal="left" vertical="center" wrapText="1" readingOrder="1"/>
    </xf>
    <xf numFmtId="0" fontId="43" fillId="0" borderId="10" xfId="0" applyFont="1" applyBorder="1" applyAlignment="1">
      <alignment horizontal="left" vertical="center" wrapText="1" readingOrder="1"/>
    </xf>
    <xf numFmtId="0" fontId="43" fillId="0" borderId="15" xfId="0" applyFont="1" applyBorder="1" applyAlignment="1">
      <alignment horizontal="left" vertical="center" wrapText="1" readingOrder="1"/>
    </xf>
    <xf numFmtId="0" fontId="43" fillId="0" borderId="0" xfId="0" applyFont="1" applyBorder="1" applyAlignment="1">
      <alignment horizontal="left" vertical="center" wrapText="1" readingOrder="1"/>
    </xf>
    <xf numFmtId="0" fontId="43" fillId="0" borderId="11" xfId="0" applyFont="1" applyBorder="1" applyAlignment="1">
      <alignment horizontal="left" vertical="center" wrapText="1" readingOrder="1"/>
    </xf>
    <xf numFmtId="0" fontId="43" fillId="0" borderId="16" xfId="0" applyFont="1" applyBorder="1" applyAlignment="1">
      <alignment horizontal="left" vertical="center" wrapText="1" readingOrder="1"/>
    </xf>
    <xf numFmtId="0" fontId="43" fillId="0" borderId="13" xfId="0" applyFont="1" applyBorder="1" applyAlignment="1">
      <alignment horizontal="left" vertical="center" wrapText="1" readingOrder="1"/>
    </xf>
    <xf numFmtId="0" fontId="43" fillId="0" borderId="14" xfId="0" applyFont="1" applyBorder="1" applyAlignment="1">
      <alignment horizontal="left" vertical="center" wrapText="1" readingOrder="1"/>
    </xf>
    <xf numFmtId="0" fontId="41" fillId="0" borderId="8" xfId="0" applyFont="1" applyFill="1" applyBorder="1" applyAlignment="1">
      <alignment horizontal="center" wrapText="1"/>
    </xf>
    <xf numFmtId="0" fontId="41" fillId="0" borderId="9" xfId="0" applyFont="1" applyFill="1" applyBorder="1" applyAlignment="1">
      <alignment horizontal="center" wrapText="1"/>
    </xf>
    <xf numFmtId="0" fontId="41" fillId="0" borderId="10" xfId="0" applyFont="1" applyFill="1" applyBorder="1" applyAlignment="1">
      <alignment horizontal="center" wrapText="1"/>
    </xf>
    <xf numFmtId="0" fontId="41" fillId="0" borderId="16" xfId="0" applyFont="1" applyFill="1" applyBorder="1" applyAlignment="1">
      <alignment horizontal="center" wrapText="1"/>
    </xf>
    <xf numFmtId="0" fontId="41" fillId="0" borderId="13" xfId="0" applyFont="1" applyFill="1" applyBorder="1" applyAlignment="1">
      <alignment horizontal="center" wrapText="1"/>
    </xf>
    <xf numFmtId="0" fontId="41" fillId="0" borderId="14" xfId="0" applyFont="1" applyFill="1" applyBorder="1" applyAlignment="1">
      <alignment horizontal="center" wrapText="1"/>
    </xf>
    <xf numFmtId="0" fontId="43" fillId="0" borderId="117" xfId="0" applyFont="1" applyFill="1" applyBorder="1" applyAlignment="1">
      <alignment horizontal="left" wrapText="1"/>
    </xf>
    <xf numFmtId="0" fontId="43" fillId="0" borderId="118" xfId="0" applyFont="1" applyFill="1" applyBorder="1" applyAlignment="1">
      <alignment horizontal="left" wrapText="1"/>
    </xf>
    <xf numFmtId="0" fontId="43" fillId="0" borderId="115" xfId="0" applyFont="1" applyFill="1" applyBorder="1" applyAlignment="1">
      <alignment horizontal="left" wrapText="1"/>
    </xf>
    <xf numFmtId="0" fontId="43" fillId="0" borderId="5" xfId="0" applyFont="1" applyFill="1" applyBorder="1" applyAlignment="1">
      <alignment horizontal="left" wrapText="1"/>
    </xf>
    <xf numFmtId="0" fontId="43" fillId="0" borderId="19" xfId="0" applyFont="1" applyFill="1" applyBorder="1" applyAlignment="1">
      <alignment horizontal="left" wrapText="1"/>
    </xf>
    <xf numFmtId="0" fontId="43" fillId="0" borderId="8" xfId="0" applyFont="1" applyFill="1" applyBorder="1" applyAlignment="1">
      <alignment horizontal="left" vertical="center" wrapText="1" readingOrder="1"/>
    </xf>
    <xf numFmtId="0" fontId="43" fillId="0" borderId="9" xfId="0" applyFont="1" applyFill="1" applyBorder="1" applyAlignment="1">
      <alignment horizontal="left" vertical="center" wrapText="1" readingOrder="1"/>
    </xf>
    <xf numFmtId="0" fontId="43" fillId="0" borderId="10" xfId="0" applyFont="1" applyFill="1" applyBorder="1" applyAlignment="1">
      <alignment horizontal="left" vertical="center" wrapText="1" readingOrder="1"/>
    </xf>
    <xf numFmtId="0" fontId="43" fillId="0" borderId="16" xfId="0" applyFont="1" applyFill="1" applyBorder="1" applyAlignment="1">
      <alignment horizontal="left" vertical="center" wrapText="1" readingOrder="1"/>
    </xf>
    <xf numFmtId="0" fontId="43" fillId="0" borderId="13" xfId="0" applyFont="1" applyFill="1" applyBorder="1" applyAlignment="1">
      <alignment horizontal="left" vertical="center" wrapText="1" readingOrder="1"/>
    </xf>
    <xf numFmtId="0" fontId="43" fillId="0" borderId="14" xfId="0" applyFont="1" applyFill="1" applyBorder="1" applyAlignment="1">
      <alignment horizontal="left" vertical="center" wrapText="1" readingOrder="1"/>
    </xf>
    <xf numFmtId="0" fontId="5" fillId="22" borderId="8" xfId="0" applyFont="1" applyFill="1" applyBorder="1" applyAlignment="1">
      <alignment horizontal="center" vertical="center" wrapText="1"/>
    </xf>
    <xf numFmtId="0" fontId="5" fillId="22" borderId="9"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5" fillId="22" borderId="16" xfId="0" applyFont="1" applyFill="1" applyBorder="1" applyAlignment="1">
      <alignment horizontal="center" vertical="center" wrapText="1"/>
    </xf>
    <xf numFmtId="0" fontId="5" fillId="22" borderId="13" xfId="0" applyFont="1" applyFill="1" applyBorder="1" applyAlignment="1">
      <alignment horizontal="center" vertical="center" wrapText="1"/>
    </xf>
    <xf numFmtId="0" fontId="5" fillId="22" borderId="14" xfId="0" applyFont="1" applyFill="1" applyBorder="1" applyAlignment="1">
      <alignment horizontal="center" vertical="center" wrapText="1"/>
    </xf>
    <xf numFmtId="0" fontId="5" fillId="23" borderId="8"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5" fillId="23" borderId="10" xfId="0" applyFont="1" applyFill="1" applyBorder="1" applyAlignment="1">
      <alignment horizontal="center" vertical="center" wrapText="1"/>
    </xf>
    <xf numFmtId="0" fontId="5" fillId="23" borderId="16" xfId="0" applyFont="1" applyFill="1" applyBorder="1" applyAlignment="1">
      <alignment horizontal="center" vertical="center" wrapText="1"/>
    </xf>
    <xf numFmtId="0" fontId="5" fillId="23" borderId="13" xfId="0" applyFont="1" applyFill="1" applyBorder="1" applyAlignment="1">
      <alignment horizontal="center" vertical="center" wrapText="1"/>
    </xf>
    <xf numFmtId="0" fontId="5" fillId="23" borderId="14" xfId="0" applyFont="1" applyFill="1" applyBorder="1" applyAlignment="1">
      <alignment horizontal="center" vertical="center" wrapText="1"/>
    </xf>
    <xf numFmtId="0" fontId="43" fillId="0" borderId="15" xfId="0" applyFont="1" applyFill="1" applyBorder="1" applyAlignment="1">
      <alignment horizontal="left" vertical="center" wrapText="1" readingOrder="1"/>
    </xf>
    <xf numFmtId="0" fontId="43" fillId="0" borderId="0" xfId="0" applyFont="1" applyFill="1" applyBorder="1" applyAlignment="1">
      <alignment horizontal="left" vertical="center" wrapText="1" readingOrder="1"/>
    </xf>
    <xf numFmtId="0" fontId="43" fillId="0" borderId="11" xfId="0" applyFont="1" applyFill="1" applyBorder="1" applyAlignment="1">
      <alignment horizontal="left" vertical="center" wrapText="1" readingOrder="1"/>
    </xf>
    <xf numFmtId="0" fontId="19" fillId="0" borderId="0" xfId="0" applyFont="1" applyBorder="1" applyAlignment="1">
      <alignment horizontal="center"/>
    </xf>
    <xf numFmtId="0" fontId="19" fillId="0" borderId="0" xfId="0" applyFont="1" applyBorder="1" applyAlignment="1">
      <alignment horizontal="center" wrapText="1"/>
    </xf>
    <xf numFmtId="0" fontId="41" fillId="0" borderId="120" xfId="0" applyFont="1" applyFill="1" applyBorder="1" applyAlignment="1">
      <alignment horizontal="center"/>
    </xf>
    <xf numFmtId="0" fontId="41" fillId="0" borderId="118" xfId="0" applyFont="1" applyFill="1" applyBorder="1" applyAlignment="1">
      <alignment horizontal="center"/>
    </xf>
    <xf numFmtId="0" fontId="41" fillId="0" borderId="119" xfId="0" applyFont="1" applyFill="1" applyBorder="1" applyAlignment="1">
      <alignment horizontal="center"/>
    </xf>
    <xf numFmtId="0" fontId="6" fillId="0" borderId="29" xfId="0" applyFont="1" applyBorder="1" applyAlignment="1">
      <alignment horizont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9" fillId="0" borderId="8" xfId="0" applyFont="1" applyBorder="1" applyAlignment="1">
      <alignment horizontal="left" vertical="center" wrapText="1"/>
    </xf>
    <xf numFmtId="0" fontId="79" fillId="0" borderId="9" xfId="0" applyFont="1" applyBorder="1" applyAlignment="1">
      <alignment horizontal="left" vertical="center" wrapText="1"/>
    </xf>
    <xf numFmtId="0" fontId="79" fillId="0" borderId="10" xfId="0" applyFont="1" applyBorder="1" applyAlignment="1">
      <alignment horizontal="left" vertical="center" wrapText="1"/>
    </xf>
    <xf numFmtId="0" fontId="79" fillId="0" borderId="15" xfId="0" applyFont="1" applyBorder="1" applyAlignment="1">
      <alignment horizontal="left" vertical="center" wrapText="1"/>
    </xf>
    <xf numFmtId="0" fontId="79" fillId="0" borderId="0" xfId="0" applyFont="1" applyBorder="1" applyAlignment="1">
      <alignment horizontal="left" vertical="center" wrapText="1"/>
    </xf>
    <xf numFmtId="0" fontId="79" fillId="0" borderId="11" xfId="0" applyFont="1" applyBorder="1" applyAlignment="1">
      <alignment horizontal="left" vertical="center" wrapText="1"/>
    </xf>
    <xf numFmtId="0" fontId="79" fillId="0" borderId="16" xfId="0" applyFont="1" applyBorder="1" applyAlignment="1">
      <alignment horizontal="left" vertical="center" wrapText="1"/>
    </xf>
    <xf numFmtId="0" fontId="79" fillId="0" borderId="13" xfId="0" applyFont="1" applyBorder="1" applyAlignment="1">
      <alignment horizontal="left" vertical="center" wrapText="1"/>
    </xf>
    <xf numFmtId="0" fontId="79" fillId="0" borderId="14" xfId="0" applyFont="1" applyBorder="1" applyAlignment="1">
      <alignment horizontal="left" vertical="center" wrapText="1"/>
    </xf>
    <xf numFmtId="2" fontId="19" fillId="17" borderId="8" xfId="0" applyNumberFormat="1" applyFont="1" applyFill="1" applyBorder="1" applyAlignment="1">
      <alignment horizontal="center"/>
    </xf>
    <xf numFmtId="2" fontId="19" fillId="17" borderId="9" xfId="0" applyNumberFormat="1" applyFont="1" applyFill="1" applyBorder="1" applyAlignment="1">
      <alignment horizontal="center"/>
    </xf>
    <xf numFmtId="2" fontId="19" fillId="17" borderId="16" xfId="0" applyNumberFormat="1" applyFont="1" applyFill="1" applyBorder="1" applyAlignment="1">
      <alignment horizontal="center"/>
    </xf>
    <xf numFmtId="2" fontId="19" fillId="17" borderId="13" xfId="0" applyNumberFormat="1" applyFont="1" applyFill="1" applyBorder="1" applyAlignment="1">
      <alignment horizontal="center"/>
    </xf>
    <xf numFmtId="0" fontId="72" fillId="16" borderId="44" xfId="0" applyFont="1" applyFill="1" applyBorder="1" applyAlignment="1">
      <alignment horizontal="left" vertical="center"/>
    </xf>
    <xf numFmtId="0" fontId="72" fillId="16" borderId="45" xfId="0" applyFont="1" applyFill="1" applyBorder="1" applyAlignment="1">
      <alignment horizontal="left" vertical="center"/>
    </xf>
    <xf numFmtId="0" fontId="72" fillId="16" borderId="46" xfId="0" applyFont="1" applyFill="1" applyBorder="1" applyAlignment="1">
      <alignment horizontal="left" vertical="center"/>
    </xf>
    <xf numFmtId="0" fontId="1" fillId="0" borderId="1" xfId="0" applyFont="1" applyBorder="1" applyAlignment="1">
      <alignment horizontal="center" wrapText="1"/>
    </xf>
    <xf numFmtId="0" fontId="1" fillId="0" borderId="88" xfId="0" applyFont="1" applyBorder="1" applyAlignment="1">
      <alignment horizontal="center" vertical="center"/>
    </xf>
    <xf numFmtId="0" fontId="1" fillId="0" borderId="123" xfId="0" applyFont="1" applyBorder="1" applyAlignment="1">
      <alignment horizontal="center" vertical="center"/>
    </xf>
    <xf numFmtId="0" fontId="1" fillId="0" borderId="27" xfId="0" applyFont="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46" xfId="0" applyFont="1" applyFill="1" applyBorder="1" applyAlignment="1">
      <alignment horizontal="center" vertical="center"/>
    </xf>
    <xf numFmtId="0" fontId="72" fillId="15" borderId="8" xfId="0" applyFont="1" applyFill="1" applyBorder="1" applyAlignment="1">
      <alignment horizontal="center"/>
    </xf>
    <xf numFmtId="0" fontId="72" fillId="15" borderId="9" xfId="0" applyFont="1" applyFill="1" applyBorder="1" applyAlignment="1">
      <alignment horizontal="center"/>
    </xf>
    <xf numFmtId="0" fontId="72" fillId="15" borderId="10" xfId="0" applyFont="1" applyFill="1" applyBorder="1" applyAlignment="1">
      <alignment horizont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1" fillId="21" borderId="4" xfId="0" applyFont="1" applyFill="1" applyBorder="1" applyAlignment="1">
      <alignment horizontal="center" vertical="center" wrapText="1"/>
    </xf>
    <xf numFmtId="0" fontId="41" fillId="21" borderId="6" xfId="0" applyFont="1" applyFill="1" applyBorder="1" applyAlignment="1">
      <alignment horizontal="center" vertical="center" wrapTex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cellXfs>
  <cellStyles count="5">
    <cellStyle name="Гиперссылка" xfId="1" builtinId="8"/>
    <cellStyle name="Денежный" xfId="3" builtinId="4"/>
    <cellStyle name="Обычный" xfId="0" builtinId="0"/>
    <cellStyle name="Процентный" xfId="4" builtinId="5"/>
    <cellStyle name="Финансовый" xfId="2" builtinId="3"/>
  </cellStyles>
  <dxfs count="16">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Times New Roman"/>
        <scheme val="none"/>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none">
          <fgColor indexed="64"/>
          <bgColor auto="1"/>
        </patternFill>
      </fill>
    </dxf>
    <dxf>
      <border>
        <bottom style="thin">
          <color indexed="64"/>
        </bottom>
      </border>
    </dxf>
    <dxf>
      <font>
        <strike val="0"/>
        <outline val="0"/>
        <shadow val="0"/>
        <u val="none"/>
        <vertAlign val="baseline"/>
        <sz val="11"/>
        <color auto="1"/>
        <name val="Times New Roman"/>
        <scheme val="none"/>
      </font>
      <fill>
        <patternFill patternType="solid">
          <fgColor indexed="64"/>
          <bgColor theme="0" tint="-0.34998626667073579"/>
        </patternFill>
      </fill>
      <border diagonalUp="0" diagonalDown="0" outline="0">
        <left style="thin">
          <color indexed="64"/>
        </left>
        <right style="thin">
          <color indexed="64"/>
        </right>
        <top/>
        <bottom/>
      </border>
    </dxf>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strike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Times New Roman"/>
        <scheme val="none"/>
      </font>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none">
          <fgColor indexed="64"/>
          <bgColor auto="1"/>
        </patternFill>
      </fill>
    </dxf>
    <dxf>
      <border>
        <bottom style="thin">
          <color indexed="64"/>
        </bottom>
      </border>
    </dxf>
    <dxf>
      <font>
        <strike val="0"/>
        <outline val="0"/>
        <shadow val="0"/>
        <u val="none"/>
        <vertAlign val="baseline"/>
        <sz val="11"/>
        <color auto="1"/>
        <name val="Times New Roman"/>
        <scheme val="none"/>
      </font>
      <fill>
        <patternFill patternType="solid">
          <fgColor indexed="64"/>
          <bgColor theme="0" tint="-0.34998626667073579"/>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487680</xdr:colOff>
      <xdr:row>114</xdr:row>
      <xdr:rowOff>0</xdr:rowOff>
    </xdr:from>
    <xdr:to>
      <xdr:col>11</xdr:col>
      <xdr:colOff>739140</xdr:colOff>
      <xdr:row>125</xdr:row>
      <xdr:rowOff>190500</xdr:rowOff>
    </xdr:to>
    <xdr:sp macro="" textlink="">
      <xdr:nvSpPr>
        <xdr:cNvPr id="9" name="Овал 8">
          <a:extLst>
            <a:ext uri="{FF2B5EF4-FFF2-40B4-BE49-F238E27FC236}">
              <a16:creationId xmlns="" xmlns:a16="http://schemas.microsoft.com/office/drawing/2014/main" id="{00000000-0008-0000-0000-000009000000}"/>
            </a:ext>
          </a:extLst>
        </xdr:cNvPr>
        <xdr:cNvSpPr/>
      </xdr:nvSpPr>
      <xdr:spPr>
        <a:xfrm>
          <a:off x="9037320" y="23050500"/>
          <a:ext cx="4198620" cy="2278380"/>
        </a:xfrm>
        <a:prstGeom prst="ellips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ru-RU" sz="11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Формула расчета</a:t>
          </a:r>
          <a:r>
            <a:rPr lang="ru-RU" sz="11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(для</a:t>
          </a:r>
          <a:r>
            <a:rPr lang="ru-RU" sz="1100" b="1" cap="none" spc="0" baseline="0">
              <a:ln w="10541" cmpd="sng">
                <a:solidFill>
                  <a:schemeClr val="accent1">
                    <a:shade val="88000"/>
                    <a:satMod val="110000"/>
                  </a:schemeClr>
                </a:solidFill>
                <a:prstDash val="solid"/>
              </a:ln>
              <a:solidFill>
                <a:srgbClr val="FF0000"/>
              </a:solidFill>
              <a:effectLst/>
            </a:rPr>
            <a:t> </a:t>
          </a:r>
          <a:r>
            <a:rPr lang="ru-RU" sz="1100" b="1" cap="none" spc="0" baseline="0">
              <a:ln w="0"/>
              <a:solidFill>
                <a:srgbClr val="FF0000"/>
              </a:solidFill>
              <a:effectLst>
                <a:outerShdw blurRad="38100" dist="25400" dir="5400000" algn="ctr" rotWithShape="0">
                  <a:srgbClr val="6E747A">
                    <a:alpha val="43000"/>
                  </a:srgbClr>
                </a:outerShdw>
              </a:effectLst>
            </a:rPr>
            <a:t>Задачи 10</a:t>
          </a:r>
          <a:r>
            <a:rPr lang="ru-RU" sz="11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необходимой суммы в будущем (БС)* при внесении равных платежей на пополняемый/снимаемый депозит (обычно на год заключается, это реальная услуга) с процентной ставкой в определённые периоды и известным количеством таких периодов</a:t>
          </a:r>
          <a:endParaRPr lang="en-US" sz="11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xdr:from>
      <xdr:col>9</xdr:col>
      <xdr:colOff>38100</xdr:colOff>
      <xdr:row>126</xdr:row>
      <xdr:rowOff>0</xdr:rowOff>
    </xdr:from>
    <xdr:to>
      <xdr:col>11</xdr:col>
      <xdr:colOff>1005840</xdr:colOff>
      <xdr:row>131</xdr:row>
      <xdr:rowOff>114300</xdr:rowOff>
    </xdr:to>
    <xdr:sp macro="" textlink="">
      <xdr:nvSpPr>
        <xdr:cNvPr id="10" name="Скругленный прямоугольник 9">
          <a:extLst>
            <a:ext uri="{FF2B5EF4-FFF2-40B4-BE49-F238E27FC236}">
              <a16:creationId xmlns="" xmlns:a16="http://schemas.microsoft.com/office/drawing/2014/main" id="{00000000-0008-0000-0000-00000A000000}"/>
            </a:ext>
          </a:extLst>
        </xdr:cNvPr>
        <xdr:cNvSpPr/>
      </xdr:nvSpPr>
      <xdr:spPr>
        <a:xfrm>
          <a:off x="9555480" y="25366980"/>
          <a:ext cx="3947160" cy="131064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ru-RU" sz="1100" b="1" u="sng"/>
            <a:t>1 способ решения </a:t>
          </a:r>
          <a:r>
            <a:rPr lang="ru-RU" sz="1100" b="1" u="sng">
              <a:solidFill>
                <a:srgbClr val="FF0000"/>
              </a:solidFill>
            </a:rPr>
            <a:t>Задачи 10</a:t>
          </a:r>
          <a:r>
            <a:rPr lang="ru-RU" sz="1100" b="1" u="sng"/>
            <a:t>.</a:t>
          </a:r>
        </a:p>
        <a:p>
          <a:pPr algn="ctr"/>
          <a:r>
            <a:rPr lang="ru-RU" sz="1100" b="1" baseline="0"/>
            <a:t>* БС - приближенный вариант и упрощенный вариант. В финансовых калькуляторах, тем более в самих банках расчет строится с учетом точных дней в периодах, наличия праздников, выходных, сложных процентов, базы (360 или 365 дней в году)</a:t>
          </a:r>
          <a:endParaRPr lang="en-US" sz="1100" b="1" baseline="0"/>
        </a:p>
        <a:p>
          <a:pPr algn="ctr"/>
          <a:endParaRPr lang="en-US" sz="1100" b="1" baseline="0"/>
        </a:p>
      </xdr:txBody>
    </xdr:sp>
    <xdr:clientData/>
  </xdr:twoCellAnchor>
  <xdr:twoCellAnchor>
    <xdr:from>
      <xdr:col>8</xdr:col>
      <xdr:colOff>121920</xdr:colOff>
      <xdr:row>144</xdr:row>
      <xdr:rowOff>137160</xdr:rowOff>
    </xdr:from>
    <xdr:to>
      <xdr:col>11</xdr:col>
      <xdr:colOff>38100</xdr:colOff>
      <xdr:row>154</xdr:row>
      <xdr:rowOff>83820</xdr:rowOff>
    </xdr:to>
    <xdr:sp macro="" textlink="">
      <xdr:nvSpPr>
        <xdr:cNvPr id="6" name="Овал 5">
          <a:extLst>
            <a:ext uri="{FF2B5EF4-FFF2-40B4-BE49-F238E27FC236}">
              <a16:creationId xmlns="" xmlns:a16="http://schemas.microsoft.com/office/drawing/2014/main" id="{00000000-0008-0000-0000-000006000000}"/>
            </a:ext>
          </a:extLst>
        </xdr:cNvPr>
        <xdr:cNvSpPr/>
      </xdr:nvSpPr>
      <xdr:spPr>
        <a:xfrm>
          <a:off x="9052560" y="30899100"/>
          <a:ext cx="3116580" cy="1775460"/>
        </a:xfrm>
        <a:prstGeom prst="ellipse">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lang="ru-RU" sz="1100" b="1" u="sng"/>
            <a:t>2 способ решения </a:t>
          </a:r>
          <a:r>
            <a:rPr lang="ru-RU" sz="1100" b="1" u="sng">
              <a:solidFill>
                <a:srgbClr val="FF0000"/>
              </a:solidFill>
            </a:rPr>
            <a:t>Задачи 10</a:t>
          </a:r>
        </a:p>
        <a:p>
          <a:pPr algn="ctr"/>
          <a:r>
            <a:rPr lang="ru-RU" sz="1100" b="1"/>
            <a:t>Финансовый калькулятор.</a:t>
          </a:r>
        </a:p>
        <a:p>
          <a:pPr algn="ctr"/>
          <a:endParaRPr lang="ru-RU" sz="1100" b="1" u="sng"/>
        </a:p>
        <a:p>
          <a:pPr algn="ctr"/>
          <a:r>
            <a:rPr lang="ru-RU" sz="1100" b="1" u="sng"/>
            <a:t>3 способ решения </a:t>
          </a:r>
          <a:r>
            <a:rPr lang="ru-RU" sz="1100" b="1" u="sng">
              <a:solidFill>
                <a:srgbClr val="FF0000"/>
              </a:solidFill>
            </a:rPr>
            <a:t>Задачи 10</a:t>
          </a:r>
          <a:r>
            <a:rPr lang="ru-RU" sz="1100" b="1" u="sng" baseline="0"/>
            <a:t> </a:t>
          </a:r>
          <a:r>
            <a:rPr lang="ru-RU" sz="1100" b="1" baseline="0">
              <a:solidFill>
                <a:srgbClr val="FF0000"/>
              </a:solidFill>
            </a:rPr>
            <a:t>смотри "Расчетные задачи", Задача 23 вкладка "Банки"</a:t>
          </a:r>
          <a:endParaRPr lang="ru-RU" sz="1100" b="1">
            <a:solidFill>
              <a:srgbClr val="FF0000"/>
            </a:solidFill>
          </a:endParaRPr>
        </a:p>
      </xdr:txBody>
    </xdr:sp>
    <xdr:clientData/>
  </xdr:twoCellAnchor>
  <xdr:twoCellAnchor>
    <xdr:from>
      <xdr:col>6</xdr:col>
      <xdr:colOff>320040</xdr:colOff>
      <xdr:row>205</xdr:row>
      <xdr:rowOff>198120</xdr:rowOff>
    </xdr:from>
    <xdr:to>
      <xdr:col>9</xdr:col>
      <xdr:colOff>632460</xdr:colOff>
      <xdr:row>211</xdr:row>
      <xdr:rowOff>45720</xdr:rowOff>
    </xdr:to>
    <xdr:sp macro="" textlink="">
      <xdr:nvSpPr>
        <xdr:cNvPr id="7" name="Овал 6">
          <a:extLst>
            <a:ext uri="{FF2B5EF4-FFF2-40B4-BE49-F238E27FC236}">
              <a16:creationId xmlns="" xmlns:a16="http://schemas.microsoft.com/office/drawing/2014/main" id="{00000000-0008-0000-0000-000007000000}"/>
            </a:ext>
          </a:extLst>
        </xdr:cNvPr>
        <xdr:cNvSpPr/>
      </xdr:nvSpPr>
      <xdr:spPr>
        <a:xfrm>
          <a:off x="6774180" y="40279320"/>
          <a:ext cx="3375660" cy="134112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ru-RU" sz="1100" b="1"/>
            <a:t>В таблице (</a:t>
          </a:r>
          <a:r>
            <a:rPr lang="ru-RU" sz="1100" b="1">
              <a:solidFill>
                <a:srgbClr val="FF0000"/>
              </a:solidFill>
            </a:rPr>
            <a:t>Кейс 2</a:t>
          </a:r>
          <a:r>
            <a:rPr lang="ru-RU" sz="1100" b="1"/>
            <a:t>) приведён пошаговый расчет с помощью формул сложных процентов.</a:t>
          </a:r>
          <a:r>
            <a:rPr lang="ru-RU" sz="1100" b="1" baseline="0"/>
            <a:t> По ссылке можно воспользоваться финансовым калькулятором</a:t>
          </a:r>
          <a:endParaRPr lang="ru-RU"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151</xdr:row>
      <xdr:rowOff>106680</xdr:rowOff>
    </xdr:from>
    <xdr:to>
      <xdr:col>5</xdr:col>
      <xdr:colOff>142313</xdr:colOff>
      <xdr:row>154</xdr:row>
      <xdr:rowOff>162225</xdr:rowOff>
    </xdr:to>
    <xdr:pic>
      <xdr:nvPicPr>
        <xdr:cNvPr id="11" name="Рисунок 10" descr="C:\Users\Евгений\Desktop\Вклад пополняемый БС.jpg">
          <a:extLst>
            <a:ext uri="{FF2B5EF4-FFF2-40B4-BE49-F238E27FC236}">
              <a16:creationId xmlns="" xmlns:a16="http://schemas.microsoft.com/office/drawing/2014/main" id="{00000000-0008-0000-0100-00000B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14" r="8614" b="15907"/>
        <a:stretch/>
      </xdr:blipFill>
      <xdr:spPr bwMode="auto">
        <a:xfrm>
          <a:off x="1234440" y="30807660"/>
          <a:ext cx="3860873" cy="619425"/>
        </a:xfrm>
        <a:prstGeom prst="rect">
          <a:avLst/>
        </a:prstGeom>
        <a:noFill/>
        <a:ln w="3175">
          <a:solidFill>
            <a:schemeClr val="tx1"/>
          </a:solidFill>
        </a:ln>
      </xdr:spPr>
    </xdr:pic>
    <xdr:clientData/>
  </xdr:twoCellAnchor>
  <xdr:twoCellAnchor editAs="oneCell">
    <xdr:from>
      <xdr:col>2</xdr:col>
      <xdr:colOff>259080</xdr:colOff>
      <xdr:row>155</xdr:row>
      <xdr:rowOff>45720</xdr:rowOff>
    </xdr:from>
    <xdr:to>
      <xdr:col>5</xdr:col>
      <xdr:colOff>474980</xdr:colOff>
      <xdr:row>160</xdr:row>
      <xdr:rowOff>165735</xdr:rowOff>
    </xdr:to>
    <xdr:pic>
      <xdr:nvPicPr>
        <xdr:cNvPr id="12" name="Рисунок 11" descr="C:\Users\Евгений\Desktop\8.jpg">
          <a:extLst>
            <a:ext uri="{FF2B5EF4-FFF2-40B4-BE49-F238E27FC236}">
              <a16:creationId xmlns="" xmlns:a16="http://schemas.microsoft.com/office/drawing/2014/main" id="{00000000-0008-0000-0100-00000C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86" t="15029" r="12762" b="13295"/>
        <a:stretch/>
      </xdr:blipFill>
      <xdr:spPr bwMode="auto">
        <a:xfrm>
          <a:off x="1844040" y="31501080"/>
          <a:ext cx="3378200" cy="1049655"/>
        </a:xfrm>
        <a:prstGeom prst="rect">
          <a:avLst/>
        </a:prstGeom>
        <a:noFill/>
        <a:ln w="3175">
          <a:solidFill>
            <a:schemeClr val="tx1"/>
          </a:solid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746760</xdr:colOff>
      <xdr:row>0</xdr:row>
      <xdr:rowOff>15240</xdr:rowOff>
    </xdr:from>
    <xdr:to>
      <xdr:col>15</xdr:col>
      <xdr:colOff>320040</xdr:colOff>
      <xdr:row>5</xdr:row>
      <xdr:rowOff>68580</xdr:rowOff>
    </xdr:to>
    <xdr:sp macro="" textlink="">
      <xdr:nvSpPr>
        <xdr:cNvPr id="2" name="Овал 1">
          <a:extLst>
            <a:ext uri="{FF2B5EF4-FFF2-40B4-BE49-F238E27FC236}">
              <a16:creationId xmlns:a16="http://schemas.microsoft.com/office/drawing/2014/main" xmlns="" id="{00000000-0008-0000-0300-000002000000}"/>
            </a:ext>
          </a:extLst>
        </xdr:cNvPr>
        <xdr:cNvSpPr/>
      </xdr:nvSpPr>
      <xdr:spPr>
        <a:xfrm>
          <a:off x="9982200" y="15240"/>
          <a:ext cx="4191000" cy="975360"/>
        </a:xfrm>
        <a:prstGeom prst="ellipse">
          <a:avLst/>
        </a:prstGeom>
        <a:solidFill>
          <a:srgbClr val="92D050"/>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indent="0" algn="ctr" defTabSz="914400" rtl="0" eaLnBrk="1" fontAlgn="auto" latinLnBrk="0" hangingPunct="0">
            <a:lnSpc>
              <a:spcPct val="100000"/>
            </a:lnSpc>
            <a:spcBef>
              <a:spcPts val="0"/>
            </a:spcBef>
            <a:spcAft>
              <a:spcPts val="0"/>
            </a:spcAft>
            <a:buClrTx/>
            <a:buSzTx/>
            <a:buFontTx/>
            <a:buNone/>
            <a:tabLst/>
            <a:defRPr/>
          </a:pPr>
          <a:r>
            <a:rPr lang="ru-RU" sz="1000" b="1" cap="none" spc="0" baseline="0">
              <a:ln w="1905"/>
              <a:solidFill>
                <a:sysClr val="windowText" lastClr="000000"/>
              </a:solidFill>
              <a:effectLst>
                <a:innerShdw blurRad="69850" dist="43180" dir="5400000">
                  <a:srgbClr val="000000">
                    <a:alpha val="65000"/>
                  </a:srgbClr>
                </a:innerShdw>
              </a:effectLst>
            </a:rPr>
            <a:t>Возможно использовать на 4-м интерактивном занятии в соответсвтии с Программой. Презентация </a:t>
          </a:r>
          <a:r>
            <a:rPr lang="ru-RU" sz="1000" b="1" baseline="0">
              <a:solidFill>
                <a:srgbClr val="FF0000"/>
              </a:solidFill>
              <a:effectLst>
                <a:innerShdw blurRad="69850" dist="43180" dir="5400000">
                  <a:srgbClr val="000000">
                    <a:alpha val="65000"/>
                  </a:srgbClr>
                </a:innerShdw>
              </a:effectLst>
              <a:latin typeface="+mn-lt"/>
              <a:ea typeface="+mn-ea"/>
              <a:cs typeface="+mn-cs"/>
            </a:rPr>
            <a:t>Слайды 192</a:t>
          </a:r>
          <a:r>
            <a:rPr lang="ru-RU" sz="1100" b="0">
              <a:solidFill>
                <a:srgbClr val="FF0000"/>
              </a:solidFill>
              <a:effectLst/>
              <a:latin typeface="+mn-lt"/>
              <a:ea typeface="+mn-ea"/>
              <a:cs typeface="+mn-cs"/>
            </a:rPr>
            <a:t>–</a:t>
          </a:r>
          <a:r>
            <a:rPr lang="ru-RU" sz="1000" b="1" baseline="0">
              <a:solidFill>
                <a:srgbClr val="FF0000"/>
              </a:solidFill>
              <a:effectLst>
                <a:innerShdw blurRad="69850" dist="43180" dir="5400000">
                  <a:srgbClr val="000000">
                    <a:alpha val="65000"/>
                  </a:srgbClr>
                </a:innerShdw>
              </a:effectLst>
              <a:latin typeface="+mn-lt"/>
              <a:ea typeface="+mn-ea"/>
              <a:cs typeface="+mn-cs"/>
            </a:rPr>
            <a:t>197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6</xdr:row>
      <xdr:rowOff>0</xdr:rowOff>
    </xdr:from>
    <xdr:to>
      <xdr:col>16</xdr:col>
      <xdr:colOff>426720</xdr:colOff>
      <xdr:row>8</xdr:row>
      <xdr:rowOff>121920</xdr:rowOff>
    </xdr:to>
    <xdr:sp macro="" textlink="">
      <xdr:nvSpPr>
        <xdr:cNvPr id="2" name="Овал 1">
          <a:extLst>
            <a:ext uri="{FF2B5EF4-FFF2-40B4-BE49-F238E27FC236}">
              <a16:creationId xmlns="" xmlns:a16="http://schemas.microsoft.com/office/drawing/2014/main" id="{00000000-0008-0000-0500-000002000000}"/>
            </a:ext>
          </a:extLst>
        </xdr:cNvPr>
        <xdr:cNvSpPr/>
      </xdr:nvSpPr>
      <xdr:spPr>
        <a:xfrm>
          <a:off x="8481060" y="2667000"/>
          <a:ext cx="2255520" cy="807720"/>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ru-RU" sz="1000" b="1" cap="none" spc="0" baseline="0">
              <a:ln w="1905"/>
              <a:solidFill>
                <a:sysClr val="windowText" lastClr="000000"/>
              </a:solidFill>
              <a:effectLst>
                <a:innerShdw blurRad="69850" dist="43180" dir="5400000">
                  <a:srgbClr val="000000">
                    <a:alpha val="65000"/>
                  </a:srgbClr>
                </a:innerShdw>
              </a:effectLst>
              <a:latin typeface="+mn-lt"/>
              <a:ea typeface="+mn-ea"/>
              <a:cs typeface="+mn-cs"/>
            </a:rPr>
            <a:t>Инвестиционный вычет по счету ИИС разобран во вкладке "ИИС" </a:t>
          </a:r>
          <a:r>
            <a:rPr lang="ru-RU" sz="1000" b="1" cap="none" spc="0">
              <a:ln w="1905"/>
              <a:solidFill>
                <a:sysClr val="windowText" lastClr="000000"/>
              </a:solidFill>
              <a:effectLst>
                <a:innerShdw blurRad="69850" dist="43180" dir="5400000">
                  <a:srgbClr val="000000">
                    <a:alpha val="65000"/>
                  </a:srgbClr>
                </a:innerShdw>
              </a:effectLst>
              <a:latin typeface="+mn-lt"/>
              <a:ea typeface="+mn-ea"/>
              <a:cs typeface="+mn-cs"/>
            </a:rPr>
            <a:t> </a:t>
          </a:r>
        </a:p>
        <a:p>
          <a:pPr algn="ctr" rtl="0" fontAlgn="auto" latinLnBrk="0" hangingPunct="1"/>
          <a:endParaRPr lang="ru-RU">
            <a:solidFill>
              <a:schemeClr val="accent2">
                <a:lumMod val="75000"/>
              </a:schemeClr>
            </a:solidFill>
            <a:effectLst/>
          </a:endParaRPr>
        </a:p>
        <a:p>
          <a:pPr algn="ctr"/>
          <a:endParaRPr lang="ru-RU" sz="1100" b="1" baseline="0">
            <a:solidFill>
              <a:sysClr val="windowText" lastClr="000000"/>
            </a:solidFill>
            <a:effectLst>
              <a:innerShdw blurRad="69850" dist="43180" dir="5400000">
                <a:srgbClr val="000000">
                  <a:alpha val="65000"/>
                </a:srgbClr>
              </a:innerShdw>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175260</xdr:colOff>
      <xdr:row>17</xdr:row>
      <xdr:rowOff>99060</xdr:rowOff>
    </xdr:from>
    <xdr:to>
      <xdr:col>6</xdr:col>
      <xdr:colOff>381000</xdr:colOff>
      <xdr:row>24</xdr:row>
      <xdr:rowOff>45720</xdr:rowOff>
    </xdr:to>
    <xdr:sp macro="" textlink="">
      <xdr:nvSpPr>
        <xdr:cNvPr id="2" name="Овал 1">
          <a:extLst>
            <a:ext uri="{FF2B5EF4-FFF2-40B4-BE49-F238E27FC236}">
              <a16:creationId xmlns="" xmlns:a16="http://schemas.microsoft.com/office/drawing/2014/main" id="{00000000-0008-0000-0700-000002000000}"/>
            </a:ext>
          </a:extLst>
        </xdr:cNvPr>
        <xdr:cNvSpPr/>
      </xdr:nvSpPr>
      <xdr:spPr>
        <a:xfrm>
          <a:off x="4267200" y="3291840"/>
          <a:ext cx="1592580" cy="1226820"/>
        </a:xfrm>
        <a:prstGeom prst="ellips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ru-RU" sz="1100" b="1"/>
            <a:t>Вывод: Долгосрочные</a:t>
          </a:r>
          <a:r>
            <a:rPr lang="ru-RU" sz="1100" b="1" baseline="0"/>
            <a:t> цели выполнимы</a:t>
          </a:r>
          <a:endParaRPr lang="ru-RU" sz="1100" b="1"/>
        </a:p>
      </xdr:txBody>
    </xdr:sp>
    <xdr:clientData/>
  </xdr:twoCellAnchor>
</xdr:wsDr>
</file>

<file path=xl/tables/table1.xml><?xml version="1.0" encoding="utf-8"?>
<table xmlns="http://schemas.openxmlformats.org/spreadsheetml/2006/main" id="1" name="Таблица1" displayName="Таблица1" ref="A8:C23" totalsRowShown="0" headerRowDxfId="15" dataDxfId="13" headerRowBorderDxfId="14" tableBorderDxfId="12" totalsRowBorderDxfId="11">
  <tableColumns count="3">
    <tableColumn id="1" name="Черта характера" dataDxfId="10"/>
    <tableColumn id="2" name="+" dataDxfId="9"/>
    <tableColumn id="3" name="-" dataDxfId="8"/>
  </tableColumns>
  <tableStyleInfo name="TableStyleLight9" showFirstColumn="0" showLastColumn="0" showRowStripes="1" showColumnStripes="0"/>
</table>
</file>

<file path=xl/tables/table2.xml><?xml version="1.0" encoding="utf-8"?>
<table xmlns="http://schemas.openxmlformats.org/spreadsheetml/2006/main" id="3" name="Таблица14" displayName="Таблица14" ref="E8:G23" totalsRowShown="0" headerRowDxfId="7" dataDxfId="5" headerRowBorderDxfId="6" tableBorderDxfId="4" totalsRowBorderDxfId="3">
  <tableColumns count="3">
    <tableColumn id="1" name="Черта характера" dataDxfId="2"/>
    <tableColumn id="2" name="+" dataDxfId="1"/>
    <tableColumn id="3" name="-" dataDxfId="0"/>
  </tableColumns>
  <tableStyleInfo name="TableStyleLight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incalculator.ru/kalkulyator-vkladov" TargetMode="External"/><Relationship Id="rId1" Type="http://schemas.openxmlformats.org/officeDocument/2006/relationships/hyperlink" Target="http://fincalculator.ru/kalkulyator-vklad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mart-lab.ru/q/bonds/SU26215RMFS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6"/>
  <sheetViews>
    <sheetView tabSelected="1" workbookViewId="0">
      <selection sqref="A1:L3"/>
    </sheetView>
  </sheetViews>
  <sheetFormatPr defaultRowHeight="14.4"/>
  <cols>
    <col min="1" max="1" width="15.6640625" customWidth="1"/>
    <col min="2" max="2" width="14.5546875" customWidth="1"/>
    <col min="3" max="3" width="16.44140625" customWidth="1"/>
    <col min="4" max="4" width="14" customWidth="1"/>
    <col min="5" max="5" width="13.44140625" customWidth="1"/>
    <col min="6" max="6" width="20.6640625" customWidth="1"/>
    <col min="7" max="7" width="19.33203125" customWidth="1"/>
    <col min="8" max="8" width="16.77734375" customWidth="1"/>
    <col min="9" max="9" width="9.88671875" customWidth="1"/>
    <col min="10" max="10" width="23.44140625" customWidth="1"/>
    <col min="11" max="11" width="13.33203125" customWidth="1"/>
    <col min="12" max="12" width="19.109375" bestFit="1" customWidth="1"/>
    <col min="13" max="13" width="17" customWidth="1"/>
    <col min="14" max="14" width="10.88671875" bestFit="1" customWidth="1"/>
  </cols>
  <sheetData>
    <row r="1" spans="1:13" ht="14.4" customHeight="1">
      <c r="A1" s="953" t="s">
        <v>676</v>
      </c>
      <c r="B1" s="954"/>
      <c r="C1" s="954"/>
      <c r="D1" s="954"/>
      <c r="E1" s="954"/>
      <c r="F1" s="954"/>
      <c r="G1" s="954"/>
      <c r="H1" s="954"/>
      <c r="I1" s="954"/>
      <c r="J1" s="954"/>
      <c r="K1" s="954"/>
      <c r="L1" s="955"/>
      <c r="M1" s="630"/>
    </row>
    <row r="2" spans="1:13">
      <c r="A2" s="956"/>
      <c r="B2" s="957"/>
      <c r="C2" s="957"/>
      <c r="D2" s="957"/>
      <c r="E2" s="957"/>
      <c r="F2" s="957"/>
      <c r="G2" s="957"/>
      <c r="H2" s="957"/>
      <c r="I2" s="957"/>
      <c r="J2" s="957"/>
      <c r="K2" s="957"/>
      <c r="L2" s="958"/>
      <c r="M2" s="630"/>
    </row>
    <row r="3" spans="1:13" ht="15" thickBot="1">
      <c r="A3" s="959"/>
      <c r="B3" s="960"/>
      <c r="C3" s="960"/>
      <c r="D3" s="960"/>
      <c r="E3" s="960"/>
      <c r="F3" s="960"/>
      <c r="G3" s="960"/>
      <c r="H3" s="960"/>
      <c r="I3" s="960"/>
      <c r="J3" s="960"/>
      <c r="K3" s="960"/>
      <c r="L3" s="961"/>
      <c r="M3" s="630"/>
    </row>
    <row r="4" spans="1:13" ht="15" thickBot="1">
      <c r="A4" s="971" t="s">
        <v>669</v>
      </c>
      <c r="B4" s="972"/>
      <c r="C4" s="972"/>
      <c r="D4" s="972"/>
      <c r="E4" s="972"/>
      <c r="F4" s="972"/>
      <c r="G4" s="972"/>
      <c r="H4" s="972"/>
      <c r="I4" s="972"/>
      <c r="J4" s="972"/>
      <c r="K4" s="972"/>
      <c r="L4" s="973"/>
    </row>
    <row r="5" spans="1:13" ht="15" thickBot="1">
      <c r="A5" s="974" t="s">
        <v>631</v>
      </c>
      <c r="B5" s="975"/>
      <c r="C5" s="975"/>
      <c r="D5" s="975"/>
      <c r="E5" s="975"/>
      <c r="F5" s="975"/>
      <c r="G5" s="975"/>
      <c r="H5" s="975"/>
      <c r="I5" s="975"/>
      <c r="J5" s="975"/>
      <c r="K5" s="975"/>
      <c r="L5" s="976"/>
    </row>
    <row r="6" spans="1:13" ht="6" customHeight="1" thickBot="1">
      <c r="A6" s="21"/>
      <c r="B6" s="5"/>
      <c r="C6" s="5"/>
      <c r="D6" s="5"/>
      <c r="E6" s="5"/>
      <c r="F6" s="5"/>
      <c r="G6" s="5"/>
      <c r="H6" s="5"/>
      <c r="I6" s="5"/>
      <c r="J6" s="5"/>
      <c r="K6" s="5"/>
      <c r="L6" s="13"/>
    </row>
    <row r="7" spans="1:13" ht="42.6" customHeight="1" thickBot="1">
      <c r="A7" s="898" t="s">
        <v>627</v>
      </c>
      <c r="B7" s="899"/>
      <c r="C7" s="899"/>
      <c r="D7" s="900"/>
      <c r="E7" s="11"/>
      <c r="F7" s="885" t="s">
        <v>628</v>
      </c>
      <c r="G7" s="886"/>
      <c r="H7" s="886"/>
      <c r="I7" s="886"/>
      <c r="J7" s="886"/>
      <c r="K7" s="887"/>
      <c r="L7" s="12"/>
    </row>
    <row r="8" spans="1:13" ht="15.6" customHeight="1">
      <c r="A8" s="671" t="s">
        <v>22</v>
      </c>
      <c r="B8" s="673" t="s">
        <v>3</v>
      </c>
      <c r="C8" s="672" t="s">
        <v>13</v>
      </c>
      <c r="D8" s="143"/>
      <c r="E8" s="5"/>
      <c r="F8" s="212" t="s">
        <v>4</v>
      </c>
      <c r="G8" s="213"/>
      <c r="H8" s="883" t="s">
        <v>23</v>
      </c>
      <c r="I8" s="884"/>
      <c r="J8" s="884"/>
      <c r="K8" s="161"/>
      <c r="L8" s="13"/>
    </row>
    <row r="9" spans="1:13" ht="14.4" customHeight="1">
      <c r="A9" s="202" t="s">
        <v>20</v>
      </c>
      <c r="B9" s="203">
        <v>1</v>
      </c>
      <c r="C9" s="203">
        <v>2</v>
      </c>
      <c r="D9" s="204"/>
      <c r="E9" s="5"/>
      <c r="F9" s="214" t="s">
        <v>18</v>
      </c>
      <c r="G9" s="215">
        <v>4</v>
      </c>
      <c r="H9" s="169" t="s">
        <v>24</v>
      </c>
      <c r="I9" s="140"/>
      <c r="J9" s="140"/>
      <c r="K9" s="143"/>
      <c r="L9" s="13"/>
    </row>
    <row r="10" spans="1:13" ht="27.6">
      <c r="A10" s="202" t="s">
        <v>0</v>
      </c>
      <c r="B10" s="203">
        <v>1</v>
      </c>
      <c r="C10" s="203">
        <v>0.9</v>
      </c>
      <c r="D10" s="204"/>
      <c r="E10" s="5"/>
      <c r="F10" s="216" t="s">
        <v>580</v>
      </c>
      <c r="G10" s="217">
        <v>9</v>
      </c>
      <c r="H10" s="218" t="s">
        <v>182</v>
      </c>
      <c r="I10" s="219"/>
      <c r="J10" s="219"/>
      <c r="K10" s="220"/>
      <c r="L10" s="665"/>
    </row>
    <row r="11" spans="1:13" ht="16.8" customHeight="1" thickBot="1">
      <c r="A11" s="202" t="s">
        <v>1</v>
      </c>
      <c r="B11" s="203" t="s">
        <v>1</v>
      </c>
      <c r="C11" s="203" t="s">
        <v>1</v>
      </c>
      <c r="D11" s="204"/>
      <c r="E11" s="5"/>
      <c r="F11" s="221" t="s">
        <v>183</v>
      </c>
      <c r="G11" s="222" t="s">
        <v>19</v>
      </c>
      <c r="H11" s="223" t="s">
        <v>17</v>
      </c>
      <c r="I11" s="224"/>
      <c r="J11" s="224"/>
      <c r="K11" s="225"/>
      <c r="L11" s="665"/>
    </row>
    <row r="12" spans="1:13" ht="15" thickBot="1">
      <c r="A12" s="202" t="s">
        <v>2</v>
      </c>
      <c r="B12" s="203">
        <v>3</v>
      </c>
      <c r="C12" s="205">
        <v>3.2</v>
      </c>
      <c r="D12" s="204"/>
      <c r="E12" s="5"/>
      <c r="F12" s="226"/>
      <c r="G12" s="226"/>
      <c r="H12" s="142"/>
      <c r="I12" s="142"/>
      <c r="J12" s="142"/>
      <c r="K12" s="142"/>
      <c r="L12" s="666"/>
    </row>
    <row r="13" spans="1:13" ht="15" thickBot="1">
      <c r="A13" s="200" t="s">
        <v>21</v>
      </c>
      <c r="B13" s="201">
        <f>B12+B10+B9</f>
        <v>5</v>
      </c>
      <c r="C13" s="201">
        <f>C12+C10+C9</f>
        <v>6.1000000000000005</v>
      </c>
      <c r="D13" s="206" t="s">
        <v>14</v>
      </c>
      <c r="E13" s="5"/>
      <c r="F13" s="901" t="s">
        <v>629</v>
      </c>
      <c r="G13" s="902"/>
      <c r="H13" s="902"/>
      <c r="I13" s="902"/>
      <c r="J13" s="902"/>
      <c r="K13" s="903"/>
      <c r="L13" s="665"/>
    </row>
    <row r="14" spans="1:13" ht="15" thickBot="1">
      <c r="A14" s="207"/>
      <c r="B14" s="208"/>
      <c r="C14" s="209" t="s">
        <v>410</v>
      </c>
      <c r="D14" s="210">
        <f>(C13-B13)/B13</f>
        <v>0.22000000000000011</v>
      </c>
      <c r="E14" s="5"/>
      <c r="F14" s="227" t="s">
        <v>147</v>
      </c>
      <c r="G14" s="228">
        <v>2014</v>
      </c>
      <c r="H14" s="228">
        <v>2015</v>
      </c>
      <c r="I14" s="228">
        <v>2016</v>
      </c>
      <c r="J14" s="228">
        <v>2017</v>
      </c>
      <c r="K14" s="284" t="s">
        <v>207</v>
      </c>
      <c r="L14" s="13"/>
    </row>
    <row r="15" spans="1:13" ht="30" customHeight="1" thickBot="1">
      <c r="A15" s="898" t="s">
        <v>16</v>
      </c>
      <c r="B15" s="899"/>
      <c r="C15" s="899"/>
      <c r="D15" s="900"/>
      <c r="E15" s="5"/>
      <c r="F15" s="480" t="s">
        <v>148</v>
      </c>
      <c r="G15" s="481">
        <v>1</v>
      </c>
      <c r="H15" s="481">
        <v>1.1120000000000001</v>
      </c>
      <c r="I15" s="481">
        <v>1.0680000000000001</v>
      </c>
      <c r="J15" s="481">
        <v>1.0780000000000001</v>
      </c>
      <c r="K15" s="482">
        <f>J15-G15</f>
        <v>7.8000000000000069E-2</v>
      </c>
      <c r="L15" s="13"/>
    </row>
    <row r="16" spans="1:13" ht="14.4" customHeight="1">
      <c r="A16" s="671" t="s">
        <v>22</v>
      </c>
      <c r="B16" s="672" t="s">
        <v>3</v>
      </c>
      <c r="C16" s="672" t="s">
        <v>13</v>
      </c>
      <c r="D16" s="204"/>
      <c r="E16" s="5"/>
      <c r="F16" s="904" t="s">
        <v>678</v>
      </c>
      <c r="G16" s="905"/>
      <c r="H16" s="905"/>
      <c r="I16" s="905"/>
      <c r="J16" s="905"/>
      <c r="K16" s="906"/>
      <c r="L16" s="667"/>
    </row>
    <row r="17" spans="1:12">
      <c r="A17" s="202" t="s">
        <v>20</v>
      </c>
      <c r="B17" s="203">
        <v>1</v>
      </c>
      <c r="C17" s="203">
        <v>2</v>
      </c>
      <c r="D17" s="204"/>
      <c r="E17" s="5"/>
      <c r="F17" s="907"/>
      <c r="G17" s="908"/>
      <c r="H17" s="908"/>
      <c r="I17" s="908"/>
      <c r="J17" s="908"/>
      <c r="K17" s="909"/>
      <c r="L17" s="667"/>
    </row>
    <row r="18" spans="1:12">
      <c r="A18" s="202" t="s">
        <v>0</v>
      </c>
      <c r="B18" s="203">
        <v>1</v>
      </c>
      <c r="C18" s="203">
        <v>0.9</v>
      </c>
      <c r="D18" s="204"/>
      <c r="E18" s="5"/>
      <c r="F18" s="907"/>
      <c r="G18" s="908"/>
      <c r="H18" s="908"/>
      <c r="I18" s="908"/>
      <c r="J18" s="908"/>
      <c r="K18" s="909"/>
      <c r="L18" s="667"/>
    </row>
    <row r="19" spans="1:12" ht="15" thickBot="1">
      <c r="A19" s="202" t="s">
        <v>1</v>
      </c>
      <c r="B19" s="203" t="s">
        <v>1</v>
      </c>
      <c r="C19" s="203" t="s">
        <v>1</v>
      </c>
      <c r="D19" s="204"/>
      <c r="E19" s="5"/>
      <c r="F19" s="910"/>
      <c r="G19" s="911"/>
      <c r="H19" s="911"/>
      <c r="I19" s="911"/>
      <c r="J19" s="911"/>
      <c r="K19" s="912"/>
      <c r="L19" s="667"/>
    </row>
    <row r="20" spans="1:12">
      <c r="A20" s="202" t="s">
        <v>2</v>
      </c>
      <c r="B20" s="203">
        <v>3</v>
      </c>
      <c r="C20" s="205">
        <v>2</v>
      </c>
      <c r="D20" s="204"/>
      <c r="E20" s="5"/>
      <c r="F20" s="479"/>
      <c r="G20" s="479"/>
      <c r="H20" s="479"/>
      <c r="I20" s="479"/>
      <c r="J20" s="479"/>
      <c r="K20" s="479"/>
      <c r="L20" s="13"/>
    </row>
    <row r="21" spans="1:12" ht="15" thickBot="1">
      <c r="A21" s="200" t="s">
        <v>21</v>
      </c>
      <c r="B21" s="201">
        <f>B20+B18+B17</f>
        <v>5</v>
      </c>
      <c r="C21" s="201">
        <f>C20+C18+C17</f>
        <v>4.9000000000000004</v>
      </c>
      <c r="D21" s="206" t="s">
        <v>15</v>
      </c>
      <c r="E21" s="5"/>
      <c r="F21" s="5"/>
      <c r="G21" s="5"/>
      <c r="H21" s="5"/>
      <c r="I21" s="5"/>
      <c r="J21" s="5"/>
      <c r="K21" s="5"/>
      <c r="L21" s="13"/>
    </row>
    <row r="22" spans="1:12" ht="15" thickBot="1">
      <c r="A22" s="207"/>
      <c r="B22" s="208"/>
      <c r="C22" s="209" t="s">
        <v>409</v>
      </c>
      <c r="D22" s="211">
        <f>(C21-B21)/B21</f>
        <v>-1.9999999999999928E-2</v>
      </c>
      <c r="E22" s="5"/>
      <c r="F22" s="901" t="s">
        <v>630</v>
      </c>
      <c r="G22" s="902"/>
      <c r="H22" s="902"/>
      <c r="I22" s="902"/>
      <c r="J22" s="902"/>
      <c r="K22" s="902"/>
      <c r="L22" s="903"/>
    </row>
    <row r="23" spans="1:12">
      <c r="A23" s="21"/>
      <c r="B23" s="5"/>
      <c r="C23" s="5"/>
      <c r="D23" s="5"/>
      <c r="E23" s="5"/>
      <c r="F23" s="227" t="s">
        <v>147</v>
      </c>
      <c r="G23" s="228">
        <v>2014</v>
      </c>
      <c r="H23" s="228">
        <v>2015</v>
      </c>
      <c r="I23" s="228">
        <v>2016</v>
      </c>
      <c r="J23" s="228">
        <v>2017</v>
      </c>
      <c r="K23" s="477" t="s">
        <v>411</v>
      </c>
      <c r="L23" s="284" t="s">
        <v>412</v>
      </c>
    </row>
    <row r="24" spans="1:12" ht="14.4" customHeight="1" thickBot="1">
      <c r="A24" s="21"/>
      <c r="B24" s="5"/>
      <c r="C24" s="5"/>
      <c r="D24" s="5"/>
      <c r="E24" s="5"/>
      <c r="F24" s="229"/>
      <c r="G24" s="474">
        <v>0.11</v>
      </c>
      <c r="H24" s="474">
        <v>0.09</v>
      </c>
      <c r="I24" s="474">
        <v>7.0000000000000007E-2</v>
      </c>
      <c r="J24" s="474">
        <v>0.06</v>
      </c>
      <c r="K24" s="478">
        <f>(1+G24)*(1+H24)*(1+I24)*(1+J24)-1</f>
        <v>0.37226858000000052</v>
      </c>
      <c r="L24" s="475">
        <f>POWER((1+0.11)*(1+0.09)*(1+0.07)*(1+0.06),1/4)-1</f>
        <v>8.2330208195776855E-2</v>
      </c>
    </row>
    <row r="25" spans="1:12" ht="14.4" customHeight="1">
      <c r="A25" s="21"/>
      <c r="B25" s="5"/>
      <c r="C25" s="5"/>
      <c r="D25" s="5"/>
      <c r="E25" s="5"/>
      <c r="F25" s="913" t="s">
        <v>760</v>
      </c>
      <c r="G25" s="914"/>
      <c r="H25" s="914"/>
      <c r="I25" s="914"/>
      <c r="J25" s="914"/>
      <c r="K25" s="914"/>
      <c r="L25" s="915"/>
    </row>
    <row r="26" spans="1:12">
      <c r="A26" s="21"/>
      <c r="B26" s="5"/>
      <c r="C26" s="5"/>
      <c r="D26" s="5"/>
      <c r="E26" s="5"/>
      <c r="F26" s="916"/>
      <c r="G26" s="917"/>
      <c r="H26" s="917"/>
      <c r="I26" s="917"/>
      <c r="J26" s="917"/>
      <c r="K26" s="917"/>
      <c r="L26" s="918"/>
    </row>
    <row r="27" spans="1:12">
      <c r="A27" s="21"/>
      <c r="B27" s="5"/>
      <c r="C27" s="5"/>
      <c r="D27" s="5"/>
      <c r="E27" s="5"/>
      <c r="F27" s="916"/>
      <c r="G27" s="917"/>
      <c r="H27" s="917"/>
      <c r="I27" s="917"/>
      <c r="J27" s="917"/>
      <c r="K27" s="917"/>
      <c r="L27" s="918"/>
    </row>
    <row r="28" spans="1:12">
      <c r="A28" s="21"/>
      <c r="B28" s="5"/>
      <c r="C28" s="5"/>
      <c r="D28" s="5"/>
      <c r="E28" s="5"/>
      <c r="F28" s="916"/>
      <c r="G28" s="917"/>
      <c r="H28" s="917"/>
      <c r="I28" s="917"/>
      <c r="J28" s="917"/>
      <c r="K28" s="917"/>
      <c r="L28" s="918"/>
    </row>
    <row r="29" spans="1:12">
      <c r="A29" s="21"/>
      <c r="B29" s="5"/>
      <c r="C29" s="5"/>
      <c r="D29" s="5"/>
      <c r="E29" s="5"/>
      <c r="F29" s="916"/>
      <c r="G29" s="917"/>
      <c r="H29" s="917"/>
      <c r="I29" s="917"/>
      <c r="J29" s="917"/>
      <c r="K29" s="917"/>
      <c r="L29" s="918"/>
    </row>
    <row r="30" spans="1:12">
      <c r="A30" s="21"/>
      <c r="B30" s="5"/>
      <c r="C30" s="5"/>
      <c r="D30" s="5"/>
      <c r="E30" s="5"/>
      <c r="F30" s="916"/>
      <c r="G30" s="917"/>
      <c r="H30" s="917"/>
      <c r="I30" s="917"/>
      <c r="J30" s="917"/>
      <c r="K30" s="917"/>
      <c r="L30" s="918"/>
    </row>
    <row r="31" spans="1:12" ht="15" thickBot="1">
      <c r="A31" s="17"/>
      <c r="B31" s="14"/>
      <c r="C31" s="14"/>
      <c r="D31" s="14"/>
      <c r="E31" s="14"/>
      <c r="F31" s="919"/>
      <c r="G31" s="920"/>
      <c r="H31" s="920"/>
      <c r="I31" s="920"/>
      <c r="J31" s="920"/>
      <c r="K31" s="920"/>
      <c r="L31" s="921"/>
    </row>
    <row r="32" spans="1:12">
      <c r="A32" s="5"/>
      <c r="B32" s="5"/>
      <c r="C32" s="5"/>
      <c r="D32" s="5"/>
      <c r="E32" s="5"/>
      <c r="F32" s="5"/>
      <c r="G32" s="5"/>
      <c r="H32" s="5"/>
      <c r="I32" s="5"/>
      <c r="J32" s="5"/>
      <c r="K32" s="670"/>
      <c r="L32" s="5"/>
    </row>
    <row r="33" spans="1:12" ht="15" thickBot="1"/>
    <row r="34" spans="1:12" ht="15" thickBot="1">
      <c r="A34" s="968" t="s">
        <v>777</v>
      </c>
      <c r="B34" s="969"/>
      <c r="C34" s="969"/>
      <c r="D34" s="969"/>
      <c r="E34" s="969"/>
      <c r="F34" s="969"/>
      <c r="G34" s="969"/>
      <c r="H34" s="969"/>
      <c r="I34" s="969"/>
      <c r="J34" s="969"/>
      <c r="K34" s="969"/>
      <c r="L34" s="970"/>
    </row>
    <row r="35" spans="1:12">
      <c r="A35" s="888" t="s">
        <v>634</v>
      </c>
      <c r="B35" s="889"/>
      <c r="C35" s="889"/>
      <c r="D35" s="889"/>
      <c r="E35" s="889"/>
      <c r="F35" s="889"/>
      <c r="G35" s="889"/>
      <c r="H35" s="890"/>
      <c r="I35" s="5"/>
      <c r="J35" s="5"/>
      <c r="K35" s="5"/>
      <c r="L35" s="13"/>
    </row>
    <row r="36" spans="1:12">
      <c r="A36" s="888"/>
      <c r="B36" s="889"/>
      <c r="C36" s="889"/>
      <c r="D36" s="889"/>
      <c r="E36" s="889"/>
      <c r="F36" s="889"/>
      <c r="G36" s="889"/>
      <c r="H36" s="890"/>
      <c r="I36" s="5"/>
      <c r="J36" s="5"/>
      <c r="K36" s="5"/>
      <c r="L36" s="13"/>
    </row>
    <row r="37" spans="1:12">
      <c r="A37" s="888"/>
      <c r="B37" s="889"/>
      <c r="C37" s="889"/>
      <c r="D37" s="889"/>
      <c r="E37" s="889"/>
      <c r="F37" s="889"/>
      <c r="G37" s="889"/>
      <c r="H37" s="890"/>
      <c r="I37" s="5"/>
      <c r="J37" s="5"/>
      <c r="K37" s="5"/>
      <c r="L37" s="13"/>
    </row>
    <row r="38" spans="1:12">
      <c r="A38" s="888"/>
      <c r="B38" s="889"/>
      <c r="C38" s="889"/>
      <c r="D38" s="889"/>
      <c r="E38" s="889"/>
      <c r="F38" s="889"/>
      <c r="G38" s="889"/>
      <c r="H38" s="890"/>
      <c r="I38" s="5"/>
      <c r="J38" s="5"/>
      <c r="K38" s="5"/>
      <c r="L38" s="13"/>
    </row>
    <row r="39" spans="1:12" ht="21" customHeight="1" thickBot="1">
      <c r="A39" s="891"/>
      <c r="B39" s="892"/>
      <c r="C39" s="892"/>
      <c r="D39" s="892"/>
      <c r="E39" s="892"/>
      <c r="F39" s="892"/>
      <c r="G39" s="892"/>
      <c r="H39" s="893"/>
      <c r="I39" s="5"/>
      <c r="J39" s="5"/>
      <c r="K39" s="5"/>
      <c r="L39" s="13"/>
    </row>
    <row r="40" spans="1:12" ht="15" thickBot="1">
      <c r="A40" s="894" t="s">
        <v>25</v>
      </c>
      <c r="B40" s="895"/>
      <c r="C40" s="896" t="s">
        <v>26</v>
      </c>
      <c r="D40" s="897"/>
      <c r="E40" s="5"/>
      <c r="F40" s="5"/>
      <c r="G40" s="5"/>
      <c r="H40" s="5"/>
      <c r="I40" s="5"/>
      <c r="J40" s="5"/>
      <c r="K40" s="5"/>
      <c r="L40" s="13"/>
    </row>
    <row r="41" spans="1:12" ht="15" thickBot="1">
      <c r="A41" s="35" t="s">
        <v>27</v>
      </c>
      <c r="B41" s="22">
        <v>60000</v>
      </c>
      <c r="C41" s="23" t="s">
        <v>28</v>
      </c>
      <c r="D41" s="36">
        <v>10000</v>
      </c>
      <c r="E41" s="5"/>
      <c r="F41" s="5"/>
      <c r="G41" s="5"/>
      <c r="H41" s="5"/>
      <c r="I41" s="5"/>
      <c r="J41" s="5"/>
      <c r="K41" s="5"/>
      <c r="L41" s="13"/>
    </row>
    <row r="42" spans="1:12" ht="28.2" thickBot="1">
      <c r="A42" s="32" t="s">
        <v>29</v>
      </c>
      <c r="B42" s="24">
        <v>40000</v>
      </c>
      <c r="C42" s="33" t="s">
        <v>30</v>
      </c>
      <c r="D42" s="37">
        <v>25000</v>
      </c>
      <c r="E42" s="5"/>
      <c r="F42" s="5"/>
      <c r="G42" s="5"/>
      <c r="H42" s="5"/>
      <c r="I42" s="5"/>
      <c r="J42" s="5"/>
      <c r="K42" s="5"/>
      <c r="L42" s="13"/>
    </row>
    <row r="43" spans="1:12" ht="15" thickBot="1">
      <c r="A43" s="30"/>
      <c r="B43" s="25"/>
      <c r="C43" s="23" t="s">
        <v>31</v>
      </c>
      <c r="D43" s="38">
        <v>2000</v>
      </c>
      <c r="E43" s="5"/>
      <c r="F43" s="5"/>
      <c r="G43" s="5"/>
      <c r="H43" s="5"/>
      <c r="I43" s="5"/>
      <c r="J43" s="5"/>
      <c r="K43" s="5"/>
      <c r="L43" s="13"/>
    </row>
    <row r="44" spans="1:12" ht="15" thickBot="1">
      <c r="A44" s="34"/>
      <c r="B44" s="26"/>
      <c r="C44" s="33" t="s">
        <v>32</v>
      </c>
      <c r="D44" s="37">
        <v>10000</v>
      </c>
      <c r="E44" s="5"/>
      <c r="F44" s="5"/>
      <c r="G44" s="5"/>
      <c r="H44" s="5"/>
      <c r="I44" s="5"/>
      <c r="J44" s="5"/>
      <c r="K44" s="5"/>
      <c r="L44" s="13"/>
    </row>
    <row r="45" spans="1:12" ht="15" thickBot="1">
      <c r="A45" s="30"/>
      <c r="B45" s="25"/>
      <c r="C45" s="23" t="s">
        <v>33</v>
      </c>
      <c r="D45" s="36">
        <v>3000</v>
      </c>
      <c r="E45" s="5"/>
      <c r="F45" s="5"/>
      <c r="G45" s="5"/>
      <c r="H45" s="5"/>
      <c r="I45" s="5"/>
      <c r="J45" s="5"/>
      <c r="K45" s="5"/>
      <c r="L45" s="13"/>
    </row>
    <row r="46" spans="1:12" ht="28.2" thickBot="1">
      <c r="A46" s="34"/>
      <c r="B46" s="26"/>
      <c r="C46" s="33" t="s">
        <v>34</v>
      </c>
      <c r="D46" s="37">
        <v>3000</v>
      </c>
      <c r="E46" s="5"/>
      <c r="F46" s="5"/>
      <c r="G46" s="5"/>
      <c r="H46" s="5"/>
      <c r="I46" s="5"/>
      <c r="J46" s="5"/>
      <c r="K46" s="5"/>
      <c r="L46" s="13"/>
    </row>
    <row r="47" spans="1:12" ht="28.2" thickBot="1">
      <c r="A47" s="30"/>
      <c r="B47" s="25"/>
      <c r="C47" s="23" t="s">
        <v>35</v>
      </c>
      <c r="D47" s="36">
        <v>8000</v>
      </c>
      <c r="E47" s="5"/>
      <c r="F47" s="5"/>
      <c r="G47" s="5"/>
      <c r="H47" s="5"/>
      <c r="I47" s="5"/>
      <c r="J47" s="6"/>
      <c r="K47" s="5"/>
      <c r="L47" s="13"/>
    </row>
    <row r="48" spans="1:12" ht="15" thickBot="1">
      <c r="A48" s="34"/>
      <c r="B48" s="26"/>
      <c r="C48" s="33" t="s">
        <v>36</v>
      </c>
      <c r="D48" s="37">
        <v>8000</v>
      </c>
      <c r="E48" s="5"/>
      <c r="F48" s="5"/>
      <c r="G48" s="5"/>
      <c r="H48" s="5"/>
      <c r="I48" s="5"/>
      <c r="J48" s="5"/>
      <c r="K48" s="5"/>
      <c r="L48" s="13"/>
    </row>
    <row r="49" spans="1:12" ht="15" thickBot="1">
      <c r="A49" s="30"/>
      <c r="B49" s="25"/>
      <c r="C49" s="23" t="s">
        <v>37</v>
      </c>
      <c r="D49" s="36">
        <v>1000</v>
      </c>
      <c r="E49" s="5"/>
      <c r="F49" s="5"/>
      <c r="G49" s="5"/>
      <c r="H49" s="5"/>
      <c r="I49" s="5"/>
      <c r="J49" s="5"/>
      <c r="K49" s="5"/>
      <c r="L49" s="13"/>
    </row>
    <row r="50" spans="1:12" ht="15" thickBot="1">
      <c r="A50" s="34" t="s">
        <v>38</v>
      </c>
      <c r="B50" s="40">
        <f>B42+B41</f>
        <v>100000</v>
      </c>
      <c r="C50" s="27" t="s">
        <v>38</v>
      </c>
      <c r="D50" s="39">
        <f>SUM(D41:D49)</f>
        <v>70000</v>
      </c>
      <c r="E50" s="5"/>
      <c r="F50" s="5"/>
      <c r="G50" s="5"/>
      <c r="H50" s="5"/>
      <c r="I50" s="5"/>
      <c r="J50" s="5"/>
      <c r="K50" s="5"/>
      <c r="L50" s="13"/>
    </row>
    <row r="51" spans="1:12" ht="16.2" thickBot="1">
      <c r="A51" s="73" t="s">
        <v>39</v>
      </c>
      <c r="B51" s="74">
        <f>B50-D50</f>
        <v>30000</v>
      </c>
      <c r="C51" s="14"/>
      <c r="D51" s="15"/>
      <c r="E51" s="5"/>
      <c r="F51" s="5"/>
      <c r="G51" s="5"/>
      <c r="H51" s="5"/>
      <c r="I51" s="5"/>
      <c r="J51" s="5"/>
      <c r="K51" s="5"/>
      <c r="L51" s="13"/>
    </row>
    <row r="52" spans="1:12" ht="15" thickBot="1">
      <c r="A52" s="668"/>
      <c r="B52" s="8"/>
      <c r="C52" s="5"/>
      <c r="D52" s="5"/>
      <c r="E52" s="5"/>
      <c r="F52" s="5"/>
      <c r="G52" s="5"/>
      <c r="H52" s="5"/>
      <c r="I52" s="5"/>
      <c r="J52" s="5"/>
      <c r="K52" s="5"/>
      <c r="L52" s="13"/>
    </row>
    <row r="53" spans="1:12" ht="52.2" customHeight="1" thickBot="1">
      <c r="A53" s="962" t="s">
        <v>633</v>
      </c>
      <c r="B53" s="963"/>
      <c r="C53" s="963"/>
      <c r="D53" s="963"/>
      <c r="E53" s="963"/>
      <c r="F53" s="964"/>
      <c r="G53" s="669"/>
      <c r="H53" s="669"/>
      <c r="I53" s="5"/>
      <c r="J53" s="5"/>
      <c r="K53" s="5"/>
      <c r="L53" s="13"/>
    </row>
    <row r="54" spans="1:12" ht="18" thickBot="1">
      <c r="A54" s="874" t="s">
        <v>25</v>
      </c>
      <c r="B54" s="875"/>
      <c r="C54" s="876"/>
      <c r="D54" s="877" t="s">
        <v>26</v>
      </c>
      <c r="E54" s="875"/>
      <c r="F54" s="878"/>
      <c r="G54" s="5"/>
      <c r="H54" s="5"/>
      <c r="I54" s="5"/>
      <c r="J54" s="5"/>
      <c r="K54" s="5"/>
      <c r="L54" s="13"/>
    </row>
    <row r="55" spans="1:12" ht="15" thickBot="1">
      <c r="A55" s="30"/>
      <c r="B55" s="28" t="s">
        <v>40</v>
      </c>
      <c r="C55" s="29" t="s">
        <v>41</v>
      </c>
      <c r="D55" s="28"/>
      <c r="E55" s="29" t="s">
        <v>40</v>
      </c>
      <c r="F55" s="31" t="s">
        <v>41</v>
      </c>
      <c r="G55" s="5"/>
      <c r="H55" s="5"/>
      <c r="I55" s="5"/>
      <c r="J55" s="5"/>
      <c r="K55" s="5"/>
      <c r="L55" s="13"/>
    </row>
    <row r="56" spans="1:12" ht="28.2" thickBot="1">
      <c r="A56" s="32" t="s">
        <v>42</v>
      </c>
      <c r="B56" s="24">
        <v>45000</v>
      </c>
      <c r="C56" s="33"/>
      <c r="D56" s="26" t="s">
        <v>28</v>
      </c>
      <c r="E56" s="41">
        <v>8000</v>
      </c>
      <c r="F56" s="42">
        <v>8000</v>
      </c>
      <c r="G56" s="5"/>
      <c r="H56" s="5"/>
      <c r="I56" s="5"/>
      <c r="J56" s="5"/>
      <c r="K56" s="5"/>
      <c r="L56" s="13"/>
    </row>
    <row r="57" spans="1:12" ht="28.2" thickBot="1">
      <c r="A57" s="30"/>
      <c r="B57" s="25"/>
      <c r="C57" s="23"/>
      <c r="D57" s="25" t="s">
        <v>43</v>
      </c>
      <c r="E57" s="43">
        <v>5000</v>
      </c>
      <c r="F57" s="44">
        <v>5000</v>
      </c>
      <c r="G57" s="5"/>
      <c r="H57" s="5"/>
      <c r="I57" s="5"/>
      <c r="J57" s="5"/>
      <c r="K57" s="5"/>
      <c r="L57" s="13"/>
    </row>
    <row r="58" spans="1:12" ht="28.2" thickBot="1">
      <c r="A58" s="34"/>
      <c r="B58" s="26"/>
      <c r="C58" s="33"/>
      <c r="D58" s="26" t="s">
        <v>31</v>
      </c>
      <c r="E58" s="41">
        <v>1000</v>
      </c>
      <c r="F58" s="42">
        <v>1000</v>
      </c>
      <c r="G58" s="5"/>
      <c r="H58" s="5"/>
      <c r="I58" s="5"/>
      <c r="J58" s="5"/>
      <c r="K58" s="5"/>
      <c r="L58" s="13"/>
    </row>
    <row r="59" spans="1:12" ht="15" thickBot="1">
      <c r="A59" s="30"/>
      <c r="B59" s="25"/>
      <c r="C59" s="23"/>
      <c r="D59" s="25" t="s">
        <v>44</v>
      </c>
      <c r="E59" s="43">
        <v>1000</v>
      </c>
      <c r="F59" s="44">
        <v>1000</v>
      </c>
      <c r="G59" s="5"/>
      <c r="H59" s="5"/>
      <c r="I59" s="5"/>
      <c r="J59" s="5"/>
      <c r="K59" s="5"/>
      <c r="L59" s="13"/>
    </row>
    <row r="60" spans="1:12" ht="28.2" thickBot="1">
      <c r="A60" s="34"/>
      <c r="B60" s="26"/>
      <c r="C60" s="33"/>
      <c r="D60" s="26" t="s">
        <v>35</v>
      </c>
      <c r="E60" s="41">
        <v>5000</v>
      </c>
      <c r="F60" s="42">
        <v>5000</v>
      </c>
      <c r="G60" s="5"/>
      <c r="H60" s="5"/>
      <c r="I60" s="5"/>
      <c r="J60" s="5"/>
      <c r="K60" s="5"/>
      <c r="L60" s="13"/>
    </row>
    <row r="61" spans="1:12" ht="28.2" thickBot="1">
      <c r="A61" s="30"/>
      <c r="B61" s="25"/>
      <c r="C61" s="23"/>
      <c r="D61" s="25" t="s">
        <v>45</v>
      </c>
      <c r="E61" s="43">
        <v>10000</v>
      </c>
      <c r="F61" s="44">
        <v>10000</v>
      </c>
      <c r="G61" s="5"/>
      <c r="H61" s="5"/>
      <c r="I61" s="5"/>
      <c r="J61" s="5"/>
      <c r="K61" s="5"/>
      <c r="L61" s="13"/>
    </row>
    <row r="62" spans="1:12" ht="15" thickBot="1">
      <c r="A62" s="34"/>
      <c r="B62" s="26"/>
      <c r="C62" s="33"/>
      <c r="D62" s="26" t="s">
        <v>46</v>
      </c>
      <c r="E62" s="41">
        <v>10000</v>
      </c>
      <c r="F62" s="42">
        <v>10000</v>
      </c>
      <c r="G62" s="5"/>
      <c r="H62" s="5"/>
      <c r="I62" s="5"/>
      <c r="J62" s="5"/>
      <c r="K62" s="5"/>
      <c r="L62" s="13"/>
    </row>
    <row r="63" spans="1:12" ht="15" thickBot="1">
      <c r="A63" s="30"/>
      <c r="B63" s="25"/>
      <c r="C63" s="23"/>
      <c r="D63" s="25" t="s">
        <v>37</v>
      </c>
      <c r="E63" s="43">
        <v>5000</v>
      </c>
      <c r="F63" s="44">
        <v>5000</v>
      </c>
      <c r="G63" s="5"/>
      <c r="H63" s="5"/>
      <c r="I63" s="5"/>
      <c r="J63" s="5"/>
      <c r="K63" s="5"/>
      <c r="L63" s="13"/>
    </row>
    <row r="64" spans="1:12" ht="15" thickBot="1">
      <c r="A64" s="60" t="s">
        <v>38</v>
      </c>
      <c r="B64" s="56">
        <v>45000</v>
      </c>
      <c r="C64" s="57"/>
      <c r="D64" s="58" t="s">
        <v>38</v>
      </c>
      <c r="E64" s="59">
        <f>SUM(E56:E63)</f>
        <v>45000</v>
      </c>
      <c r="F64" s="61">
        <f>SUM(F56:F63)</f>
        <v>45000</v>
      </c>
      <c r="G64" s="5"/>
      <c r="H64" s="5"/>
      <c r="I64" s="5"/>
      <c r="J64" s="5"/>
      <c r="K64" s="5"/>
      <c r="L64" s="13"/>
    </row>
    <row r="65" spans="1:16" ht="15" thickBot="1">
      <c r="A65" s="879" t="s">
        <v>63</v>
      </c>
      <c r="B65" s="880"/>
      <c r="C65" s="880"/>
      <c r="D65" s="66">
        <f>B64-E64</f>
        <v>0</v>
      </c>
      <c r="E65" s="67" t="s">
        <v>39</v>
      </c>
      <c r="F65" s="68" t="s">
        <v>64</v>
      </c>
      <c r="G65" s="5"/>
      <c r="H65" s="5"/>
      <c r="I65" s="5"/>
      <c r="J65" s="5"/>
      <c r="K65" s="5"/>
      <c r="L65" s="13"/>
    </row>
    <row r="66" spans="1:16" ht="15" thickBot="1">
      <c r="A66" s="21"/>
      <c r="B66" s="5"/>
      <c r="C66" s="5"/>
      <c r="D66" s="5"/>
      <c r="E66" s="5"/>
      <c r="F66" s="5"/>
      <c r="G66" s="5"/>
      <c r="H66" s="5"/>
      <c r="I66" s="5"/>
      <c r="J66" s="5"/>
      <c r="K66" s="5"/>
      <c r="L66" s="13"/>
    </row>
    <row r="67" spans="1:16" ht="33.6" customHeight="1">
      <c r="A67" s="965" t="s">
        <v>632</v>
      </c>
      <c r="B67" s="966"/>
      <c r="C67" s="966"/>
      <c r="D67" s="966"/>
      <c r="E67" s="966"/>
      <c r="F67" s="966"/>
      <c r="G67" s="966"/>
      <c r="H67" s="967"/>
      <c r="I67" s="5"/>
      <c r="J67" s="5"/>
      <c r="K67" s="5"/>
      <c r="L67" s="13"/>
      <c r="M67" s="8"/>
      <c r="N67" s="45"/>
      <c r="O67" s="45"/>
      <c r="P67" s="8"/>
    </row>
    <row r="68" spans="1:16" ht="18.600000000000001" customHeight="1" thickBot="1">
      <c r="A68" s="868" t="s">
        <v>47</v>
      </c>
      <c r="B68" s="869"/>
      <c r="C68" s="869"/>
      <c r="D68" s="869"/>
      <c r="E68" s="870" t="s">
        <v>48</v>
      </c>
      <c r="F68" s="869"/>
      <c r="G68" s="869"/>
      <c r="H68" s="871"/>
      <c r="I68" s="5"/>
      <c r="J68" s="5"/>
      <c r="K68" s="5"/>
      <c r="L68" s="13"/>
      <c r="M68" s="48"/>
      <c r="N68" s="48"/>
      <c r="O68" s="48"/>
      <c r="P68" s="8"/>
    </row>
    <row r="69" spans="1:16" ht="28.2" thickBot="1">
      <c r="A69" s="866" t="s">
        <v>52</v>
      </c>
      <c r="B69" s="867"/>
      <c r="C69" s="46" t="s">
        <v>49</v>
      </c>
      <c r="D69" s="46" t="s">
        <v>581</v>
      </c>
      <c r="E69" s="866" t="s">
        <v>52</v>
      </c>
      <c r="F69" s="867"/>
      <c r="G69" s="46" t="s">
        <v>49</v>
      </c>
      <c r="H69" s="52" t="s">
        <v>581</v>
      </c>
      <c r="I69" s="5"/>
      <c r="J69" s="5"/>
      <c r="K69" s="5"/>
      <c r="L69" s="13"/>
      <c r="M69" s="47"/>
      <c r="N69" s="47"/>
      <c r="O69" s="47"/>
      <c r="P69" s="8"/>
    </row>
    <row r="70" spans="1:16" ht="16.2" thickBot="1">
      <c r="A70" s="855" t="s">
        <v>50</v>
      </c>
      <c r="B70" s="856"/>
      <c r="C70" s="49">
        <v>4</v>
      </c>
      <c r="D70" s="49">
        <v>57</v>
      </c>
      <c r="E70" s="855" t="s">
        <v>50</v>
      </c>
      <c r="F70" s="856"/>
      <c r="G70" s="49">
        <v>4</v>
      </c>
      <c r="H70" s="53">
        <v>49</v>
      </c>
      <c r="I70" s="5"/>
      <c r="J70" s="5"/>
      <c r="K70" s="5"/>
      <c r="L70" s="13"/>
      <c r="M70" s="45"/>
      <c r="N70" s="45"/>
      <c r="O70" s="45"/>
      <c r="P70" s="8"/>
    </row>
    <row r="71" spans="1:16" ht="16.2" thickBot="1">
      <c r="A71" s="855" t="s">
        <v>51</v>
      </c>
      <c r="B71" s="856"/>
      <c r="C71" s="49">
        <v>6</v>
      </c>
      <c r="D71" s="49">
        <v>47</v>
      </c>
      <c r="E71" s="855" t="s">
        <v>51</v>
      </c>
      <c r="F71" s="856"/>
      <c r="G71" s="49">
        <v>6</v>
      </c>
      <c r="H71" s="53">
        <v>35</v>
      </c>
      <c r="I71" s="5"/>
      <c r="J71" s="5"/>
      <c r="K71" s="5"/>
      <c r="L71" s="13"/>
      <c r="M71" s="45"/>
      <c r="N71" s="45"/>
      <c r="O71" s="45"/>
      <c r="P71" s="8"/>
    </row>
    <row r="72" spans="1:16" ht="16.2" thickBot="1">
      <c r="A72" s="855" t="s">
        <v>53</v>
      </c>
      <c r="B72" s="856"/>
      <c r="C72" s="49">
        <v>4</v>
      </c>
      <c r="D72" s="49">
        <v>68</v>
      </c>
      <c r="E72" s="855" t="s">
        <v>53</v>
      </c>
      <c r="F72" s="856"/>
      <c r="G72" s="49">
        <v>4</v>
      </c>
      <c r="H72" s="53">
        <v>52</v>
      </c>
      <c r="I72" s="5"/>
      <c r="J72" s="5"/>
      <c r="K72" s="5"/>
      <c r="L72" s="13"/>
      <c r="M72" s="45"/>
      <c r="N72" s="45"/>
      <c r="O72" s="45"/>
      <c r="P72" s="8"/>
    </row>
    <row r="73" spans="1:16" ht="16.2" thickBot="1">
      <c r="A73" s="855" t="s">
        <v>54</v>
      </c>
      <c r="B73" s="856"/>
      <c r="C73" s="49">
        <v>3</v>
      </c>
      <c r="D73" s="49">
        <v>364</v>
      </c>
      <c r="E73" s="855" t="s">
        <v>54</v>
      </c>
      <c r="F73" s="856"/>
      <c r="G73" s="49">
        <v>3</v>
      </c>
      <c r="H73" s="53">
        <v>304</v>
      </c>
      <c r="I73" s="5"/>
      <c r="J73" s="5"/>
      <c r="K73" s="5"/>
      <c r="L73" s="13"/>
      <c r="M73" s="45"/>
      <c r="N73" s="45"/>
      <c r="O73" s="45"/>
      <c r="P73" s="8"/>
    </row>
    <row r="74" spans="1:16" ht="16.2" thickBot="1">
      <c r="A74" s="855" t="s">
        <v>55</v>
      </c>
      <c r="B74" s="856"/>
      <c r="C74" s="49">
        <v>1</v>
      </c>
      <c r="D74" s="49">
        <v>45</v>
      </c>
      <c r="E74" s="855" t="s">
        <v>55</v>
      </c>
      <c r="F74" s="856"/>
      <c r="G74" s="49">
        <v>1</v>
      </c>
      <c r="H74" s="53">
        <v>32</v>
      </c>
      <c r="I74" s="5"/>
      <c r="J74" s="5"/>
      <c r="K74" s="5"/>
      <c r="L74" s="13"/>
      <c r="M74" s="45"/>
      <c r="N74" s="45"/>
      <c r="O74" s="45"/>
      <c r="P74" s="8"/>
    </row>
    <row r="75" spans="1:16" ht="16.2" thickBot="1">
      <c r="A75" s="860" t="s">
        <v>56</v>
      </c>
      <c r="B75" s="861"/>
      <c r="C75" s="50">
        <v>20</v>
      </c>
      <c r="D75" s="50">
        <v>182</v>
      </c>
      <c r="E75" s="860" t="s">
        <v>56</v>
      </c>
      <c r="F75" s="861"/>
      <c r="G75" s="50">
        <v>20</v>
      </c>
      <c r="H75" s="54">
        <v>161</v>
      </c>
      <c r="I75" s="5"/>
      <c r="J75" s="5"/>
      <c r="K75" s="5"/>
      <c r="L75" s="13"/>
      <c r="M75" s="45"/>
      <c r="N75" s="45"/>
      <c r="O75" s="45"/>
      <c r="P75" s="8"/>
    </row>
    <row r="76" spans="1:16" ht="15" thickBot="1">
      <c r="A76" s="862" t="s">
        <v>57</v>
      </c>
      <c r="B76" s="863"/>
      <c r="C76" s="863"/>
      <c r="D76" s="51">
        <f>C75*D75+C74*D74+C73*D73+C72*D72+C71*D71+C70*D70</f>
        <v>5559</v>
      </c>
      <c r="E76" s="863" t="s">
        <v>57</v>
      </c>
      <c r="F76" s="863"/>
      <c r="G76" s="863"/>
      <c r="H76" s="55">
        <f>G75*H75+G74*H74+G73*H73+G72*H72+G71*H71+G70*H70</f>
        <v>4778</v>
      </c>
      <c r="I76" s="5"/>
      <c r="J76" s="5"/>
      <c r="K76" s="5"/>
      <c r="L76" s="13"/>
      <c r="M76" s="19"/>
      <c r="N76" s="19"/>
      <c r="O76" s="19"/>
    </row>
    <row r="77" spans="1:16" ht="18.600000000000001" thickBot="1">
      <c r="A77" s="881" t="s">
        <v>58</v>
      </c>
      <c r="B77" s="882"/>
      <c r="C77" s="882"/>
      <c r="D77" s="69">
        <f>D76-H76</f>
        <v>781</v>
      </c>
      <c r="E77" s="882" t="s">
        <v>59</v>
      </c>
      <c r="F77" s="882"/>
      <c r="G77" s="882"/>
      <c r="H77" s="70">
        <f>D77*12</f>
        <v>9372</v>
      </c>
      <c r="I77" s="5"/>
      <c r="J77" s="5"/>
      <c r="K77" s="5"/>
      <c r="L77" s="13"/>
      <c r="M77" s="48"/>
      <c r="N77" s="48"/>
      <c r="O77" s="48"/>
    </row>
    <row r="78" spans="1:16" ht="16.2">
      <c r="A78" s="872" t="s">
        <v>62</v>
      </c>
      <c r="B78" s="873"/>
      <c r="C78" s="873"/>
      <c r="D78" s="5"/>
      <c r="E78" s="5"/>
      <c r="F78" s="5"/>
      <c r="G78" s="5"/>
      <c r="H78" s="13"/>
      <c r="I78" s="5"/>
      <c r="J78" s="5"/>
      <c r="K78" s="5"/>
      <c r="L78" s="13"/>
      <c r="M78" s="19"/>
      <c r="N78" s="19"/>
      <c r="O78" s="19"/>
    </row>
    <row r="79" spans="1:16" ht="18.600000000000001" thickBot="1">
      <c r="A79" s="868" t="s">
        <v>61</v>
      </c>
      <c r="B79" s="869"/>
      <c r="C79" s="869"/>
      <c r="D79" s="869"/>
      <c r="E79" s="870" t="s">
        <v>60</v>
      </c>
      <c r="F79" s="869"/>
      <c r="G79" s="869"/>
      <c r="H79" s="871"/>
      <c r="I79" s="5"/>
      <c r="J79" s="5"/>
      <c r="K79" s="5"/>
      <c r="L79" s="13"/>
    </row>
    <row r="80" spans="1:16" ht="28.2" thickBot="1">
      <c r="A80" s="866" t="s">
        <v>52</v>
      </c>
      <c r="B80" s="867"/>
      <c r="C80" s="46" t="s">
        <v>49</v>
      </c>
      <c r="D80" s="46" t="s">
        <v>581</v>
      </c>
      <c r="E80" s="866" t="s">
        <v>52</v>
      </c>
      <c r="F80" s="867"/>
      <c r="G80" s="46" t="s">
        <v>49</v>
      </c>
      <c r="H80" s="52" t="s">
        <v>581</v>
      </c>
      <c r="I80" s="5"/>
      <c r="J80" s="5"/>
      <c r="K80" s="5"/>
      <c r="L80" s="13"/>
    </row>
    <row r="81" spans="1:12" ht="16.2" thickBot="1">
      <c r="A81" s="855"/>
      <c r="B81" s="856"/>
      <c r="C81" s="49"/>
      <c r="D81" s="49"/>
      <c r="E81" s="855"/>
      <c r="F81" s="856"/>
      <c r="G81" s="49"/>
      <c r="H81" s="53"/>
      <c r="I81" s="5"/>
      <c r="J81" s="5"/>
      <c r="K81" s="5"/>
      <c r="L81" s="13"/>
    </row>
    <row r="82" spans="1:12" ht="16.2" thickBot="1">
      <c r="A82" s="855"/>
      <c r="B82" s="856"/>
      <c r="C82" s="49"/>
      <c r="D82" s="49"/>
      <c r="E82" s="855"/>
      <c r="F82" s="856"/>
      <c r="G82" s="49"/>
      <c r="H82" s="53"/>
      <c r="I82" s="5"/>
      <c r="J82" s="5"/>
      <c r="K82" s="5"/>
      <c r="L82" s="13"/>
    </row>
    <row r="83" spans="1:12" ht="16.2" thickBot="1">
      <c r="A83" s="855"/>
      <c r="B83" s="856"/>
      <c r="C83" s="49"/>
      <c r="D83" s="49"/>
      <c r="E83" s="855"/>
      <c r="F83" s="856"/>
      <c r="G83" s="49"/>
      <c r="H83" s="53"/>
      <c r="I83" s="5"/>
      <c r="J83" s="5"/>
      <c r="K83" s="5"/>
      <c r="L83" s="13"/>
    </row>
    <row r="84" spans="1:12" ht="16.2" thickBot="1">
      <c r="A84" s="855"/>
      <c r="B84" s="856"/>
      <c r="C84" s="49"/>
      <c r="D84" s="49"/>
      <c r="E84" s="855"/>
      <c r="F84" s="856"/>
      <c r="G84" s="49"/>
      <c r="H84" s="53"/>
      <c r="I84" s="5"/>
      <c r="J84" s="5"/>
      <c r="K84" s="5"/>
      <c r="L84" s="13"/>
    </row>
    <row r="85" spans="1:12" ht="16.2" thickBot="1">
      <c r="A85" s="855"/>
      <c r="B85" s="856"/>
      <c r="C85" s="49"/>
      <c r="D85" s="49"/>
      <c r="E85" s="855"/>
      <c r="F85" s="856"/>
      <c r="G85" s="49"/>
      <c r="H85" s="53"/>
      <c r="I85" s="5"/>
      <c r="J85" s="5"/>
      <c r="K85" s="5"/>
      <c r="L85" s="13"/>
    </row>
    <row r="86" spans="1:12" ht="16.2" thickBot="1">
      <c r="A86" s="860"/>
      <c r="B86" s="861"/>
      <c r="C86" s="50"/>
      <c r="D86" s="50"/>
      <c r="E86" s="860"/>
      <c r="F86" s="861"/>
      <c r="G86" s="50"/>
      <c r="H86" s="54"/>
      <c r="I86" s="5"/>
      <c r="J86" s="5"/>
      <c r="K86" s="5"/>
      <c r="L86" s="13"/>
    </row>
    <row r="87" spans="1:12" ht="15" thickBot="1">
      <c r="A87" s="862" t="s">
        <v>57</v>
      </c>
      <c r="B87" s="863"/>
      <c r="C87" s="863"/>
      <c r="D87" s="51">
        <f>C86*D86+C85*D85+C84*D84+C83*D83+C82*D82+C81*D81</f>
        <v>0</v>
      </c>
      <c r="E87" s="863" t="s">
        <v>57</v>
      </c>
      <c r="F87" s="863"/>
      <c r="G87" s="863"/>
      <c r="H87" s="55">
        <f>G86*H86+G85*H85+G84*H84+G83*H83+G82*H82+G81*H81</f>
        <v>0</v>
      </c>
      <c r="I87" s="5"/>
      <c r="J87" s="5"/>
      <c r="K87" s="5"/>
      <c r="L87" s="13"/>
    </row>
    <row r="88" spans="1:12" ht="15" thickBot="1">
      <c r="A88" s="864" t="s">
        <v>58</v>
      </c>
      <c r="B88" s="865"/>
      <c r="C88" s="865"/>
      <c r="D88" s="71">
        <f>D87-H87</f>
        <v>0</v>
      </c>
      <c r="E88" s="865" t="s">
        <v>59</v>
      </c>
      <c r="F88" s="865"/>
      <c r="G88" s="865"/>
      <c r="H88" s="72">
        <f>D88*12</f>
        <v>0</v>
      </c>
      <c r="I88" s="14"/>
      <c r="J88" s="14"/>
      <c r="K88" s="14"/>
      <c r="L88" s="15"/>
    </row>
    <row r="89" spans="1:12" ht="15" thickBot="1"/>
    <row r="90" spans="1:12" ht="15" thickBot="1">
      <c r="A90" s="977" t="s">
        <v>778</v>
      </c>
      <c r="B90" s="978"/>
      <c r="C90" s="978"/>
      <c r="D90" s="978"/>
      <c r="E90" s="978"/>
      <c r="F90" s="978"/>
      <c r="G90" s="978"/>
      <c r="H90" s="978"/>
      <c r="I90" s="978"/>
      <c r="J90" s="978"/>
      <c r="K90" s="978"/>
      <c r="L90" s="979"/>
    </row>
    <row r="91" spans="1:12" ht="14.4" customHeight="1">
      <c r="A91" s="843" t="s">
        <v>761</v>
      </c>
      <c r="B91" s="844"/>
      <c r="C91" s="844"/>
      <c r="D91" s="844"/>
      <c r="E91" s="844"/>
      <c r="F91" s="844"/>
      <c r="G91" s="844"/>
      <c r="H91" s="845"/>
    </row>
    <row r="92" spans="1:12" ht="14.4" customHeight="1">
      <c r="A92" s="843"/>
      <c r="B92" s="844"/>
      <c r="C92" s="844"/>
      <c r="D92" s="844"/>
      <c r="E92" s="844"/>
      <c r="F92" s="844"/>
      <c r="G92" s="844"/>
      <c r="H92" s="845"/>
    </row>
    <row r="93" spans="1:12" ht="14.4" customHeight="1">
      <c r="A93" s="843"/>
      <c r="B93" s="844"/>
      <c r="C93" s="844"/>
      <c r="D93" s="844"/>
      <c r="E93" s="844"/>
      <c r="F93" s="844"/>
      <c r="G93" s="844"/>
      <c r="H93" s="845"/>
    </row>
    <row r="94" spans="1:12" ht="14.4" customHeight="1">
      <c r="A94" s="843"/>
      <c r="B94" s="844"/>
      <c r="C94" s="844"/>
      <c r="D94" s="844"/>
      <c r="E94" s="844"/>
      <c r="F94" s="844"/>
      <c r="G94" s="844"/>
      <c r="H94" s="845"/>
      <c r="L94" s="62"/>
    </row>
    <row r="95" spans="1:12" ht="15" customHeight="1">
      <c r="A95" s="843"/>
      <c r="B95" s="844"/>
      <c r="C95" s="844"/>
      <c r="D95" s="844"/>
      <c r="E95" s="844"/>
      <c r="F95" s="844"/>
      <c r="G95" s="844"/>
      <c r="H95" s="845"/>
    </row>
    <row r="96" spans="1:12" ht="14.4" customHeight="1">
      <c r="A96" s="843"/>
      <c r="B96" s="844"/>
      <c r="C96" s="844"/>
      <c r="D96" s="844"/>
      <c r="E96" s="844"/>
      <c r="F96" s="844"/>
      <c r="G96" s="844"/>
      <c r="H96" s="845"/>
      <c r="L96" s="62"/>
    </row>
    <row r="97" spans="1:12" ht="14.4" customHeight="1">
      <c r="A97" s="843"/>
      <c r="B97" s="844"/>
      <c r="C97" s="844"/>
      <c r="D97" s="844"/>
      <c r="E97" s="844"/>
      <c r="F97" s="844"/>
      <c r="G97" s="844"/>
      <c r="H97" s="845"/>
    </row>
    <row r="98" spans="1:12" ht="14.4" customHeight="1">
      <c r="A98" s="843"/>
      <c r="B98" s="844"/>
      <c r="C98" s="844"/>
      <c r="D98" s="844"/>
      <c r="E98" s="844"/>
      <c r="F98" s="844"/>
      <c r="G98" s="844"/>
      <c r="H98" s="845"/>
      <c r="L98" s="62"/>
    </row>
    <row r="99" spans="1:12" ht="14.4" customHeight="1">
      <c r="A99" s="843"/>
      <c r="B99" s="844"/>
      <c r="C99" s="844"/>
      <c r="D99" s="844"/>
      <c r="E99" s="844"/>
      <c r="F99" s="844"/>
      <c r="G99" s="844"/>
      <c r="H99" s="845"/>
    </row>
    <row r="100" spans="1:12" ht="11.4" customHeight="1" thickBot="1">
      <c r="A100" s="857"/>
      <c r="B100" s="858"/>
      <c r="C100" s="858"/>
      <c r="D100" s="858"/>
      <c r="E100" s="858"/>
      <c r="F100" s="858"/>
      <c r="G100" s="858"/>
      <c r="H100" s="859"/>
    </row>
    <row r="101" spans="1:12" ht="15" thickBot="1">
      <c r="A101" s="131" t="s">
        <v>5</v>
      </c>
      <c r="B101" s="64"/>
      <c r="C101" s="64"/>
      <c r="D101" s="64"/>
      <c r="E101" s="64"/>
      <c r="F101" s="64"/>
      <c r="G101" s="64"/>
      <c r="H101" s="65"/>
    </row>
    <row r="102" spans="1:12">
      <c r="A102" s="822" t="s">
        <v>65</v>
      </c>
      <c r="B102" s="169" t="s">
        <v>66</v>
      </c>
      <c r="C102" s="140"/>
      <c r="D102" s="140"/>
      <c r="E102" s="140"/>
      <c r="F102" s="140"/>
      <c r="G102" s="140"/>
      <c r="H102" s="143"/>
    </row>
    <row r="103" spans="1:12">
      <c r="A103" s="822" t="s">
        <v>72</v>
      </c>
      <c r="B103" s="823">
        <f>(65-18)*15000*12</f>
        <v>8460000</v>
      </c>
      <c r="C103" s="140"/>
      <c r="D103" s="140"/>
      <c r="E103" s="140"/>
      <c r="F103" s="140"/>
      <c r="G103" s="140"/>
      <c r="H103" s="143"/>
    </row>
    <row r="104" spans="1:12">
      <c r="A104" s="822" t="s">
        <v>7</v>
      </c>
      <c r="B104" s="169" t="s">
        <v>67</v>
      </c>
      <c r="C104" s="140"/>
      <c r="D104" s="140"/>
      <c r="E104" s="140"/>
      <c r="F104" s="140"/>
      <c r="G104" s="140"/>
      <c r="H104" s="143"/>
    </row>
    <row r="105" spans="1:12">
      <c r="A105" s="822" t="s">
        <v>71</v>
      </c>
      <c r="B105" s="823">
        <f>(65-18-3)*20000*12</f>
        <v>10560000</v>
      </c>
      <c r="C105" s="140"/>
      <c r="D105" s="140"/>
      <c r="E105" s="140"/>
      <c r="F105" s="140"/>
      <c r="G105" s="140"/>
      <c r="H105" s="143"/>
    </row>
    <row r="106" spans="1:12">
      <c r="A106" s="824" t="s">
        <v>8</v>
      </c>
      <c r="B106" s="169" t="s">
        <v>68</v>
      </c>
      <c r="C106" s="169"/>
      <c r="D106" s="140"/>
      <c r="E106" s="140"/>
      <c r="F106" s="140"/>
      <c r="G106" s="140"/>
      <c r="H106" s="143"/>
    </row>
    <row r="107" spans="1:12" ht="15" thickBot="1">
      <c r="A107" s="827" t="s">
        <v>70</v>
      </c>
      <c r="B107" s="828">
        <f>(65-18-5)*30000*12</f>
        <v>15120000</v>
      </c>
      <c r="C107" s="156" t="s">
        <v>73</v>
      </c>
      <c r="D107" s="829"/>
      <c r="E107" s="829"/>
      <c r="F107" s="829"/>
      <c r="G107" s="829"/>
      <c r="H107" s="830"/>
    </row>
    <row r="108" spans="1:12" ht="15" thickBot="1"/>
    <row r="109" spans="1:12" ht="14.4" customHeight="1">
      <c r="A109" s="838" t="s">
        <v>635</v>
      </c>
      <c r="B109" s="841"/>
      <c r="C109" s="841"/>
      <c r="D109" s="841"/>
      <c r="E109" s="841"/>
      <c r="F109" s="841"/>
      <c r="G109" s="841"/>
      <c r="H109" s="842"/>
    </row>
    <row r="110" spans="1:12" ht="14.4" customHeight="1">
      <c r="A110" s="843"/>
      <c r="B110" s="844"/>
      <c r="C110" s="844"/>
      <c r="D110" s="844"/>
      <c r="E110" s="844"/>
      <c r="F110" s="844"/>
      <c r="G110" s="844"/>
      <c r="H110" s="845"/>
    </row>
    <row r="111" spans="1:12" ht="14.4" customHeight="1">
      <c r="A111" s="843"/>
      <c r="B111" s="844"/>
      <c r="C111" s="844"/>
      <c r="D111" s="844"/>
      <c r="E111" s="844"/>
      <c r="F111" s="844"/>
      <c r="G111" s="844"/>
      <c r="H111" s="845"/>
    </row>
    <row r="112" spans="1:12" ht="14.4" customHeight="1" thickBot="1">
      <c r="A112" s="843"/>
      <c r="B112" s="844"/>
      <c r="C112" s="844"/>
      <c r="D112" s="844"/>
      <c r="E112" s="844"/>
      <c r="F112" s="844"/>
      <c r="G112" s="844"/>
      <c r="H112" s="845"/>
      <c r="J112" s="81"/>
    </row>
    <row r="113" spans="1:18" ht="15" thickBot="1">
      <c r="A113" s="63" t="s">
        <v>69</v>
      </c>
      <c r="B113" s="64"/>
      <c r="C113" s="64"/>
      <c r="D113" s="64"/>
      <c r="E113" s="64"/>
      <c r="F113" s="64"/>
      <c r="G113" s="64"/>
      <c r="H113" s="65"/>
    </row>
    <row r="114" spans="1:18">
      <c r="A114" s="822" t="s">
        <v>65</v>
      </c>
      <c r="B114" s="148" t="s">
        <v>78</v>
      </c>
      <c r="C114" s="140"/>
      <c r="D114" s="140"/>
      <c r="E114" s="140"/>
      <c r="F114" s="140"/>
      <c r="G114" s="140"/>
      <c r="H114" s="143"/>
    </row>
    <row r="115" spans="1:18" ht="18">
      <c r="A115" s="822" t="s">
        <v>74</v>
      </c>
      <c r="B115" s="187">
        <f>(120-100)/100</f>
        <v>0.2</v>
      </c>
      <c r="C115" s="140"/>
      <c r="D115" s="140"/>
      <c r="E115" s="140"/>
      <c r="F115" s="140"/>
      <c r="G115" s="140"/>
      <c r="H115" s="143"/>
      <c r="L115" s="78"/>
      <c r="M115" s="78"/>
      <c r="N115" s="78"/>
      <c r="O115" s="78"/>
      <c r="P115" s="78"/>
      <c r="Q115" s="78"/>
      <c r="R115" s="78"/>
    </row>
    <row r="116" spans="1:18">
      <c r="A116" s="822" t="s">
        <v>7</v>
      </c>
      <c r="B116" s="140" t="s">
        <v>81</v>
      </c>
      <c r="C116" s="140"/>
      <c r="D116" s="140"/>
      <c r="E116" s="140"/>
      <c r="F116" s="140"/>
      <c r="G116" s="140"/>
      <c r="H116" s="143"/>
    </row>
    <row r="117" spans="1:18">
      <c r="A117" s="822"/>
      <c r="B117" s="823">
        <f>120/(1+7/100)</f>
        <v>112.14953271028037</v>
      </c>
      <c r="C117" s="169" t="s">
        <v>75</v>
      </c>
      <c r="D117" s="140"/>
      <c r="E117" s="140"/>
      <c r="F117" s="140"/>
      <c r="G117" s="140"/>
      <c r="H117" s="143"/>
    </row>
    <row r="118" spans="1:18">
      <c r="A118" s="822" t="s">
        <v>8</v>
      </c>
      <c r="B118" s="148" t="s">
        <v>79</v>
      </c>
      <c r="C118" s="169"/>
      <c r="D118" s="140"/>
      <c r="E118" s="140"/>
      <c r="F118" s="140"/>
      <c r="G118" s="140"/>
      <c r="H118" s="143"/>
      <c r="J118" s="5"/>
    </row>
    <row r="119" spans="1:18">
      <c r="A119" s="824"/>
      <c r="B119" s="187">
        <f>(B117-100)/100</f>
        <v>0.12149532710280368</v>
      </c>
      <c r="C119" s="169"/>
      <c r="D119" s="140"/>
      <c r="E119" s="140"/>
      <c r="F119" s="140"/>
      <c r="G119" s="140"/>
      <c r="H119" s="143"/>
    </row>
    <row r="120" spans="1:18">
      <c r="A120" s="822" t="s">
        <v>76</v>
      </c>
      <c r="B120" s="140" t="s">
        <v>77</v>
      </c>
      <c r="C120" s="169"/>
      <c r="D120" s="140"/>
      <c r="E120" s="140"/>
      <c r="F120" s="140"/>
      <c r="G120" s="140"/>
      <c r="H120" s="143"/>
    </row>
    <row r="121" spans="1:18" ht="15.6">
      <c r="A121" s="824"/>
      <c r="B121" s="823">
        <f>100*0.87</f>
        <v>87</v>
      </c>
      <c r="C121" s="140" t="s">
        <v>582</v>
      </c>
      <c r="D121" s="140"/>
      <c r="E121" s="140"/>
      <c r="F121" s="140"/>
      <c r="G121" s="140"/>
      <c r="H121" s="143"/>
      <c r="L121" s="83"/>
    </row>
    <row r="122" spans="1:18">
      <c r="A122" s="822"/>
      <c r="B122" s="823">
        <f>120*0.87/(1+0.07)</f>
        <v>97.570093457943926</v>
      </c>
      <c r="C122" s="140" t="s">
        <v>583</v>
      </c>
      <c r="D122" s="140"/>
      <c r="E122" s="140"/>
      <c r="F122" s="140"/>
      <c r="G122" s="140"/>
      <c r="H122" s="143"/>
    </row>
    <row r="123" spans="1:18">
      <c r="A123" s="825" t="s">
        <v>80</v>
      </c>
      <c r="B123" s="148" t="s">
        <v>584</v>
      </c>
      <c r="C123" s="140"/>
      <c r="D123" s="140"/>
      <c r="E123" s="140"/>
      <c r="F123" s="140"/>
      <c r="G123" s="140"/>
      <c r="H123" s="143"/>
    </row>
    <row r="124" spans="1:18" ht="15" thickBot="1">
      <c r="A124" s="826"/>
      <c r="B124" s="313">
        <f>(B122-B121)/B121</f>
        <v>0.12149532710280375</v>
      </c>
      <c r="C124" s="158"/>
      <c r="D124" s="158"/>
      <c r="E124" s="158"/>
      <c r="F124" s="158"/>
      <c r="G124" s="158"/>
      <c r="H124" s="146"/>
      <c r="O124" s="5"/>
      <c r="P124" s="5"/>
      <c r="Q124" s="5"/>
      <c r="R124" s="5"/>
    </row>
    <row r="125" spans="1:18" ht="15" thickBot="1">
      <c r="N125" s="5"/>
      <c r="O125" s="5"/>
      <c r="P125" s="5"/>
      <c r="Q125" s="5"/>
      <c r="R125" s="5"/>
    </row>
    <row r="126" spans="1:18" ht="18" customHeight="1">
      <c r="A126" s="852" t="s">
        <v>762</v>
      </c>
      <c r="B126" s="853"/>
      <c r="C126" s="853"/>
      <c r="D126" s="853"/>
      <c r="E126" s="853"/>
      <c r="F126" s="853"/>
      <c r="G126" s="853"/>
      <c r="H126" s="854"/>
      <c r="N126" s="5"/>
      <c r="O126" s="5"/>
      <c r="P126" s="5"/>
      <c r="Q126" s="5"/>
      <c r="R126" s="5"/>
    </row>
    <row r="127" spans="1:18" ht="16.2" customHeight="1">
      <c r="A127" s="846"/>
      <c r="B127" s="847"/>
      <c r="C127" s="847"/>
      <c r="D127" s="847"/>
      <c r="E127" s="847"/>
      <c r="F127" s="847"/>
      <c r="G127" s="847"/>
      <c r="H127" s="848"/>
      <c r="N127" s="5"/>
      <c r="O127" s="5"/>
      <c r="P127" s="5"/>
      <c r="Q127" s="5"/>
      <c r="R127" s="5"/>
    </row>
    <row r="128" spans="1:18" ht="18" customHeight="1">
      <c r="A128" s="846"/>
      <c r="B128" s="847"/>
      <c r="C128" s="847"/>
      <c r="D128" s="847"/>
      <c r="E128" s="847"/>
      <c r="F128" s="847"/>
      <c r="G128" s="847"/>
      <c r="H128" s="848"/>
      <c r="N128" s="5"/>
      <c r="O128" s="5"/>
      <c r="P128" s="5"/>
      <c r="Q128" s="5"/>
      <c r="R128" s="5"/>
    </row>
    <row r="129" spans="1:19" ht="18" customHeight="1">
      <c r="A129" s="846"/>
      <c r="B129" s="847"/>
      <c r="C129" s="847"/>
      <c r="D129" s="847"/>
      <c r="E129" s="847"/>
      <c r="F129" s="847"/>
      <c r="G129" s="847"/>
      <c r="H129" s="848"/>
      <c r="N129" s="5"/>
      <c r="O129" s="5"/>
      <c r="P129" s="5"/>
      <c r="Q129" s="5"/>
      <c r="R129" s="5"/>
    </row>
    <row r="130" spans="1:19" ht="27.6" customHeight="1">
      <c r="A130" s="846"/>
      <c r="B130" s="847"/>
      <c r="C130" s="847"/>
      <c r="D130" s="847"/>
      <c r="E130" s="847"/>
      <c r="F130" s="847"/>
      <c r="G130" s="847"/>
      <c r="H130" s="848"/>
      <c r="N130" s="5"/>
      <c r="O130" s="5"/>
      <c r="P130" s="5"/>
      <c r="Q130" s="5"/>
      <c r="R130" s="5"/>
    </row>
    <row r="131" spans="1:19" ht="14.4" customHeight="1">
      <c r="A131" s="846"/>
      <c r="B131" s="847"/>
      <c r="C131" s="847"/>
      <c r="D131" s="847"/>
      <c r="E131" s="847"/>
      <c r="F131" s="847"/>
      <c r="G131" s="847"/>
      <c r="H131" s="848"/>
      <c r="N131" s="5"/>
      <c r="O131" s="5"/>
      <c r="P131" s="5"/>
      <c r="Q131" s="5"/>
      <c r="R131" s="5"/>
    </row>
    <row r="132" spans="1:19" ht="14.4" customHeight="1" thickBot="1">
      <c r="A132" s="846"/>
      <c r="B132" s="847"/>
      <c r="C132" s="847"/>
      <c r="D132" s="847"/>
      <c r="E132" s="847"/>
      <c r="F132" s="847"/>
      <c r="G132" s="847"/>
      <c r="H132" s="848"/>
      <c r="N132" s="5"/>
      <c r="O132" s="5"/>
      <c r="P132" s="5"/>
      <c r="Q132" s="5"/>
      <c r="R132" s="5"/>
    </row>
    <row r="133" spans="1:19">
      <c r="A133" s="846"/>
      <c r="B133" s="847"/>
      <c r="C133" s="847"/>
      <c r="D133" s="847"/>
      <c r="E133" s="847"/>
      <c r="F133" s="847"/>
      <c r="G133" s="847"/>
      <c r="H133" s="848"/>
      <c r="J133" s="20" t="s">
        <v>87</v>
      </c>
      <c r="K133" s="84">
        <v>35000</v>
      </c>
      <c r="L133" s="11"/>
      <c r="M133" s="12"/>
      <c r="N133" s="5"/>
      <c r="O133" s="5"/>
      <c r="P133" s="5"/>
      <c r="Q133" s="5"/>
      <c r="R133" s="5"/>
    </row>
    <row r="134" spans="1:19" ht="14.4" customHeight="1" thickBot="1">
      <c r="A134" s="849"/>
      <c r="B134" s="850"/>
      <c r="C134" s="850"/>
      <c r="D134" s="850"/>
      <c r="E134" s="850"/>
      <c r="F134" s="850"/>
      <c r="G134" s="850"/>
      <c r="H134" s="851"/>
      <c r="J134" s="21"/>
      <c r="K134" s="5"/>
      <c r="L134" s="5"/>
      <c r="M134" s="13"/>
      <c r="N134" s="5"/>
      <c r="O134" s="5"/>
      <c r="P134" s="5"/>
      <c r="Q134" s="5"/>
      <c r="R134" s="5"/>
    </row>
    <row r="135" spans="1:19" ht="14.4" customHeight="1" thickBot="1">
      <c r="A135" s="131" t="s">
        <v>5</v>
      </c>
      <c r="B135" s="64"/>
      <c r="C135" s="64"/>
      <c r="D135" s="64"/>
      <c r="E135" s="64"/>
      <c r="F135" s="64"/>
      <c r="G135" s="64"/>
      <c r="H135" s="65"/>
      <c r="J135" s="21" t="s">
        <v>86</v>
      </c>
      <c r="K135" s="92">
        <v>4</v>
      </c>
      <c r="L135" s="5"/>
      <c r="M135" s="13"/>
      <c r="N135" s="5"/>
      <c r="O135" s="5"/>
      <c r="P135" s="5"/>
      <c r="Q135" s="5"/>
      <c r="R135" s="5"/>
    </row>
    <row r="136" spans="1:19" ht="15" customHeight="1">
      <c r="A136" s="838" t="s">
        <v>90</v>
      </c>
      <c r="B136" s="839"/>
      <c r="C136" s="839"/>
      <c r="D136" s="839"/>
      <c r="E136" s="839"/>
      <c r="F136" s="839"/>
      <c r="G136" s="839"/>
      <c r="H136" s="840"/>
      <c r="J136" s="21"/>
      <c r="K136" s="5"/>
      <c r="L136" s="5"/>
      <c r="M136" s="85"/>
      <c r="N136" s="5"/>
      <c r="O136" s="5"/>
      <c r="P136" s="5"/>
      <c r="Q136" s="5"/>
      <c r="R136" s="5"/>
    </row>
    <row r="137" spans="1:19" ht="14.4" customHeight="1">
      <c r="A137" s="846" t="s">
        <v>605</v>
      </c>
      <c r="B137" s="847"/>
      <c r="C137" s="847"/>
      <c r="D137" s="847"/>
      <c r="E137" s="847"/>
      <c r="F137" s="847"/>
      <c r="G137" s="847"/>
      <c r="H137" s="848"/>
      <c r="J137" s="21" t="s">
        <v>85</v>
      </c>
      <c r="K137" s="82">
        <v>0.05</v>
      </c>
      <c r="L137" s="5"/>
      <c r="M137" s="13"/>
    </row>
    <row r="138" spans="1:19" ht="14.4" customHeight="1">
      <c r="A138" s="846"/>
      <c r="B138" s="847"/>
      <c r="C138" s="847"/>
      <c r="D138" s="847"/>
      <c r="E138" s="847"/>
      <c r="F138" s="847"/>
      <c r="G138" s="847"/>
      <c r="H138" s="848"/>
      <c r="J138" s="21"/>
      <c r="K138" s="5"/>
      <c r="L138" s="5"/>
      <c r="M138" s="13"/>
    </row>
    <row r="139" spans="1:19" ht="15" customHeight="1">
      <c r="A139" s="846"/>
      <c r="B139" s="847"/>
      <c r="C139" s="847"/>
      <c r="D139" s="847"/>
      <c r="E139" s="847"/>
      <c r="F139" s="847"/>
      <c r="G139" s="847"/>
      <c r="H139" s="848"/>
      <c r="J139" s="21" t="s">
        <v>84</v>
      </c>
      <c r="K139" s="80">
        <v>12</v>
      </c>
      <c r="L139" s="5" t="s">
        <v>82</v>
      </c>
      <c r="M139" s="89">
        <f>FV(K144,K135,-K133,,K141)</f>
        <v>140877.43308738494</v>
      </c>
    </row>
    <row r="140" spans="1:19" ht="14.4" customHeight="1">
      <c r="A140" s="846"/>
      <c r="B140" s="847"/>
      <c r="C140" s="847"/>
      <c r="D140" s="847"/>
      <c r="E140" s="847"/>
      <c r="F140" s="847"/>
      <c r="G140" s="847"/>
      <c r="H140" s="848"/>
      <c r="J140" s="21"/>
      <c r="K140" s="5"/>
      <c r="L140" s="5"/>
      <c r="M140" s="13"/>
    </row>
    <row r="141" spans="1:19" ht="14.4" customHeight="1">
      <c r="A141" s="846"/>
      <c r="B141" s="847"/>
      <c r="C141" s="847"/>
      <c r="D141" s="847"/>
      <c r="E141" s="847"/>
      <c r="F141" s="847"/>
      <c r="G141" s="847"/>
      <c r="H141" s="848"/>
      <c r="J141" s="91" t="s">
        <v>83</v>
      </c>
      <c r="K141" s="80">
        <v>0</v>
      </c>
      <c r="L141" s="5"/>
      <c r="M141" s="13"/>
      <c r="P141" s="5"/>
      <c r="Q141" s="5"/>
      <c r="R141" s="5"/>
      <c r="S141" s="5"/>
    </row>
    <row r="142" spans="1:19" ht="14.4" customHeight="1">
      <c r="A142" s="846"/>
      <c r="B142" s="847"/>
      <c r="C142" s="847"/>
      <c r="D142" s="847"/>
      <c r="E142" s="847"/>
      <c r="F142" s="847"/>
      <c r="G142" s="847"/>
      <c r="H142" s="848"/>
      <c r="J142" s="21" t="s">
        <v>88</v>
      </c>
      <c r="K142" s="5"/>
      <c r="L142" s="5"/>
      <c r="M142" s="13"/>
    </row>
    <row r="143" spans="1:19" ht="14.4" customHeight="1">
      <c r="A143" s="846"/>
      <c r="B143" s="847"/>
      <c r="C143" s="847"/>
      <c r="D143" s="847"/>
      <c r="E143" s="847"/>
      <c r="F143" s="847"/>
      <c r="G143" s="847"/>
      <c r="H143" s="848"/>
      <c r="J143" s="21"/>
      <c r="K143" s="5"/>
      <c r="L143" s="5"/>
      <c r="M143" s="13"/>
    </row>
    <row r="144" spans="1:19" ht="15" customHeight="1" thickBot="1">
      <c r="A144" s="846"/>
      <c r="B144" s="847"/>
      <c r="C144" s="847"/>
      <c r="D144" s="847"/>
      <c r="E144" s="847"/>
      <c r="F144" s="847"/>
      <c r="G144" s="847"/>
      <c r="H144" s="848"/>
      <c r="J144" s="90" t="s">
        <v>89</v>
      </c>
      <c r="K144" s="88">
        <f>K137/K139</f>
        <v>4.1666666666666666E-3</v>
      </c>
      <c r="L144" s="86"/>
      <c r="M144" s="87"/>
    </row>
    <row r="145" spans="1:18" ht="14.4" customHeight="1">
      <c r="A145" s="846" t="s">
        <v>606</v>
      </c>
      <c r="B145" s="847"/>
      <c r="C145" s="847"/>
      <c r="D145" s="847"/>
      <c r="E145" s="847"/>
      <c r="F145" s="847"/>
      <c r="G145" s="847"/>
      <c r="H145" s="848"/>
    </row>
    <row r="146" spans="1:18" ht="14.4" customHeight="1">
      <c r="A146" s="846"/>
      <c r="B146" s="847"/>
      <c r="C146" s="847"/>
      <c r="D146" s="847"/>
      <c r="E146" s="847"/>
      <c r="F146" s="847"/>
      <c r="G146" s="847"/>
      <c r="H146" s="848"/>
      <c r="J146" s="93"/>
      <c r="L146" s="113"/>
    </row>
    <row r="147" spans="1:18" ht="14.4" customHeight="1">
      <c r="A147" s="846"/>
      <c r="B147" s="847"/>
      <c r="C147" s="847"/>
      <c r="D147" s="847"/>
      <c r="E147" s="847"/>
      <c r="F147" s="847"/>
      <c r="G147" s="847"/>
      <c r="H147" s="848"/>
      <c r="J147" s="93"/>
      <c r="L147" s="113" t="s">
        <v>141</v>
      </c>
      <c r="M147" s="79"/>
      <c r="N147" s="79"/>
      <c r="O147" s="79"/>
      <c r="P147" s="79"/>
      <c r="Q147" s="79"/>
      <c r="R147" s="79"/>
    </row>
    <row r="148" spans="1:18" ht="14.4" customHeight="1">
      <c r="A148" s="846"/>
      <c r="B148" s="847"/>
      <c r="C148" s="847"/>
      <c r="D148" s="847"/>
      <c r="E148" s="847"/>
      <c r="F148" s="847"/>
      <c r="G148" s="847"/>
      <c r="H148" s="848"/>
      <c r="J148" s="93"/>
      <c r="L148" s="674" t="s">
        <v>140</v>
      </c>
      <c r="M148" s="79"/>
      <c r="N148" s="79"/>
      <c r="O148" s="79"/>
      <c r="P148" s="79"/>
      <c r="Q148" s="79"/>
      <c r="R148" s="79"/>
    </row>
    <row r="149" spans="1:18" ht="14.4" customHeight="1" thickBot="1">
      <c r="A149" s="849"/>
      <c r="B149" s="850"/>
      <c r="C149" s="850"/>
      <c r="D149" s="850"/>
      <c r="E149" s="850"/>
      <c r="F149" s="850"/>
      <c r="G149" s="850"/>
      <c r="H149" s="851"/>
      <c r="K149" s="79"/>
      <c r="L149" s="79"/>
      <c r="M149" s="79"/>
      <c r="N149" s="79"/>
      <c r="O149" s="79"/>
      <c r="P149" s="79"/>
      <c r="Q149" s="79"/>
      <c r="R149" s="79"/>
    </row>
    <row r="150" spans="1:18" ht="14.4" customHeight="1">
      <c r="A150" s="660"/>
      <c r="B150" s="660"/>
      <c r="C150" s="660"/>
      <c r="D150" s="660"/>
      <c r="E150" s="660"/>
      <c r="F150" s="660"/>
      <c r="G150" s="660"/>
      <c r="H150" s="660"/>
      <c r="K150" s="79"/>
      <c r="L150" s="79"/>
      <c r="M150" s="79"/>
      <c r="N150" s="79"/>
      <c r="O150" s="79"/>
      <c r="P150" s="79"/>
      <c r="Q150" s="79"/>
      <c r="R150" s="79"/>
    </row>
    <row r="151" spans="1:18" ht="14.4" customHeight="1">
      <c r="A151" s="660"/>
      <c r="B151" s="660"/>
      <c r="C151" s="660"/>
      <c r="D151" s="660"/>
      <c r="E151" s="660"/>
      <c r="F151" s="660"/>
      <c r="G151" s="660"/>
      <c r="H151" s="660"/>
      <c r="K151" s="79"/>
      <c r="L151" s="79"/>
      <c r="M151" s="79"/>
      <c r="N151" s="79"/>
      <c r="O151" s="79"/>
      <c r="P151" s="79"/>
      <c r="Q151" s="79"/>
      <c r="R151" s="79"/>
    </row>
    <row r="152" spans="1:18" ht="14.4" customHeight="1">
      <c r="A152" s="660"/>
      <c r="B152" s="660"/>
      <c r="C152" s="660"/>
      <c r="D152" s="660"/>
      <c r="E152" s="660"/>
      <c r="F152" s="660"/>
      <c r="G152" s="660"/>
      <c r="H152" s="660"/>
      <c r="K152" s="79"/>
      <c r="L152" s="79"/>
      <c r="M152" s="79"/>
      <c r="N152" s="79"/>
      <c r="O152" s="79"/>
      <c r="P152" s="79"/>
      <c r="Q152" s="79"/>
      <c r="R152" s="79"/>
    </row>
    <row r="153" spans="1:18" ht="14.4" customHeight="1">
      <c r="A153" s="660"/>
      <c r="B153" s="660"/>
      <c r="C153" s="660"/>
      <c r="D153" s="660"/>
      <c r="E153" s="660"/>
      <c r="F153" s="660"/>
      <c r="G153" s="660"/>
      <c r="H153" s="660"/>
      <c r="K153" s="79"/>
      <c r="L153" s="79"/>
      <c r="M153" s="79"/>
      <c r="N153" s="79"/>
      <c r="O153" s="79"/>
      <c r="P153" s="79"/>
      <c r="Q153" s="79"/>
      <c r="R153" s="79"/>
    </row>
    <row r="154" spans="1:18" ht="14.4" customHeight="1">
      <c r="A154" s="660"/>
      <c r="B154" s="660"/>
      <c r="C154" s="660"/>
      <c r="D154" s="660"/>
      <c r="E154" s="660"/>
      <c r="F154" s="660"/>
      <c r="G154" s="660"/>
      <c r="H154" s="660"/>
      <c r="K154" s="79"/>
      <c r="L154" s="79"/>
      <c r="M154" s="79"/>
      <c r="N154" s="79"/>
      <c r="O154" s="79"/>
      <c r="P154" s="79"/>
      <c r="Q154" s="79"/>
      <c r="R154" s="79"/>
    </row>
    <row r="155" spans="1:18" ht="14.4" customHeight="1">
      <c r="A155" s="660"/>
      <c r="B155" s="660"/>
      <c r="C155" s="660"/>
      <c r="D155" s="660"/>
      <c r="E155" s="660"/>
      <c r="F155" s="660"/>
      <c r="G155" s="660"/>
      <c r="H155" s="660"/>
      <c r="K155" s="79"/>
      <c r="L155" s="79"/>
      <c r="M155" s="79"/>
      <c r="N155" s="79"/>
      <c r="O155" s="79"/>
      <c r="P155" s="79"/>
      <c r="Q155" s="79"/>
      <c r="R155" s="79"/>
    </row>
    <row r="156" spans="1:18" ht="15" thickBot="1">
      <c r="E156" s="5"/>
      <c r="F156" s="5"/>
      <c r="G156" s="5"/>
      <c r="H156" s="5"/>
    </row>
    <row r="157" spans="1:18" ht="18" customHeight="1">
      <c r="A157" s="928" t="s">
        <v>636</v>
      </c>
      <c r="B157" s="929"/>
      <c r="C157" s="929"/>
      <c r="D157" s="929"/>
      <c r="E157" s="929"/>
      <c r="F157" s="929"/>
      <c r="G157" s="929"/>
      <c r="H157" s="930"/>
    </row>
    <row r="158" spans="1:18" ht="14.4" customHeight="1">
      <c r="A158" s="931"/>
      <c r="B158" s="932"/>
      <c r="C158" s="932"/>
      <c r="D158" s="932"/>
      <c r="E158" s="932"/>
      <c r="F158" s="932"/>
      <c r="G158" s="932"/>
      <c r="H158" s="933"/>
    </row>
    <row r="159" spans="1:18" ht="14.4" customHeight="1" thickBot="1">
      <c r="A159" s="934"/>
      <c r="B159" s="935"/>
      <c r="C159" s="935"/>
      <c r="D159" s="935"/>
      <c r="E159" s="935"/>
      <c r="F159" s="935"/>
      <c r="G159" s="935"/>
      <c r="H159" s="936"/>
    </row>
    <row r="160" spans="1:18" ht="14.4" customHeight="1" thickBot="1">
      <c r="A160" s="131" t="s">
        <v>5</v>
      </c>
      <c r="B160" s="64"/>
      <c r="C160" s="64"/>
      <c r="D160" s="64"/>
      <c r="E160" s="64"/>
      <c r="F160" s="64"/>
      <c r="G160" s="64"/>
      <c r="H160" s="65"/>
    </row>
    <row r="161" spans="1:17" ht="14.4" customHeight="1">
      <c r="A161" s="931" t="s">
        <v>146</v>
      </c>
      <c r="B161" s="932"/>
      <c r="C161" s="932"/>
      <c r="D161" s="932"/>
      <c r="E161" s="932"/>
      <c r="F161" s="932"/>
      <c r="G161" s="932"/>
      <c r="H161" s="933"/>
    </row>
    <row r="162" spans="1:17" ht="15.6">
      <c r="A162" s="931" t="s">
        <v>145</v>
      </c>
      <c r="B162" s="932"/>
      <c r="C162" s="932"/>
      <c r="D162" s="932"/>
      <c r="E162" s="932"/>
      <c r="F162" s="932"/>
      <c r="G162" s="932"/>
      <c r="H162" s="933"/>
      <c r="J162" s="283"/>
      <c r="K162" s="283"/>
      <c r="L162" s="283"/>
      <c r="M162" s="283"/>
      <c r="N162" s="283"/>
      <c r="O162" s="283"/>
      <c r="P162" s="283"/>
      <c r="Q162" s="283"/>
    </row>
    <row r="163" spans="1:17" ht="15.6" customHeight="1">
      <c r="A163" s="946" t="s">
        <v>186</v>
      </c>
      <c r="B163" s="947"/>
      <c r="C163" s="947"/>
      <c r="D163" s="947"/>
      <c r="E163" s="947"/>
      <c r="F163" s="947"/>
      <c r="G163" s="947"/>
      <c r="H163" s="127">
        <f>1.1^3</f>
        <v>1.3310000000000004</v>
      </c>
    </row>
    <row r="164" spans="1:17" ht="14.4" customHeight="1" thickBot="1">
      <c r="A164" s="944" t="s">
        <v>185</v>
      </c>
      <c r="B164" s="945"/>
      <c r="C164" s="945"/>
      <c r="D164" s="945"/>
      <c r="E164" s="945"/>
      <c r="F164" s="945"/>
      <c r="G164" s="945"/>
      <c r="H164" s="128">
        <f>H163/(1.05)^3</f>
        <v>1.1497678436453949</v>
      </c>
    </row>
    <row r="165" spans="1:17" ht="16.2" thickBot="1">
      <c r="A165" s="126"/>
      <c r="B165" s="126"/>
      <c r="C165" s="126"/>
      <c r="D165" s="126"/>
      <c r="E165" s="126"/>
      <c r="F165" s="126"/>
      <c r="G165" s="126"/>
      <c r="H165" s="126"/>
    </row>
    <row r="166" spans="1:17" ht="17.399999999999999" customHeight="1" thickBot="1">
      <c r="A166" s="937" t="s">
        <v>763</v>
      </c>
      <c r="B166" s="841"/>
      <c r="C166" s="841"/>
      <c r="D166" s="841"/>
      <c r="E166" s="841"/>
      <c r="F166" s="841"/>
      <c r="G166" s="841"/>
      <c r="H166" s="842"/>
      <c r="J166" s="626" t="s">
        <v>637</v>
      </c>
    </row>
    <row r="167" spans="1:17" ht="18" customHeight="1">
      <c r="A167" s="843"/>
      <c r="B167" s="844"/>
      <c r="C167" s="844"/>
      <c r="D167" s="844"/>
      <c r="E167" s="844"/>
      <c r="F167" s="844"/>
      <c r="G167" s="844"/>
      <c r="H167" s="845"/>
      <c r="J167" s="20" t="s">
        <v>143</v>
      </c>
      <c r="K167" s="84">
        <v>20000</v>
      </c>
      <c r="L167" s="11"/>
      <c r="M167" s="12"/>
    </row>
    <row r="168" spans="1:17" ht="14.4" customHeight="1">
      <c r="A168" s="843"/>
      <c r="B168" s="844"/>
      <c r="C168" s="844"/>
      <c r="D168" s="844"/>
      <c r="E168" s="844"/>
      <c r="F168" s="844"/>
      <c r="G168" s="844"/>
      <c r="H168" s="845"/>
      <c r="J168" s="21"/>
      <c r="K168" s="5"/>
      <c r="L168" s="5"/>
      <c r="M168" s="13"/>
    </row>
    <row r="169" spans="1:17" ht="14.4" customHeight="1">
      <c r="A169" s="843"/>
      <c r="B169" s="844"/>
      <c r="C169" s="844"/>
      <c r="D169" s="844"/>
      <c r="E169" s="844"/>
      <c r="F169" s="844"/>
      <c r="G169" s="844"/>
      <c r="H169" s="845"/>
      <c r="J169" s="21" t="s">
        <v>86</v>
      </c>
      <c r="K169" s="92">
        <v>156</v>
      </c>
      <c r="L169" s="5"/>
      <c r="M169" s="13"/>
    </row>
    <row r="170" spans="1:17" ht="14.4" customHeight="1" thickBot="1">
      <c r="A170" s="857"/>
      <c r="B170" s="858"/>
      <c r="C170" s="858"/>
      <c r="D170" s="858"/>
      <c r="E170" s="858"/>
      <c r="F170" s="858"/>
      <c r="G170" s="858"/>
      <c r="H170" s="859"/>
      <c r="J170" s="21"/>
      <c r="K170" s="5"/>
      <c r="L170" s="5"/>
      <c r="M170" s="85"/>
    </row>
    <row r="171" spans="1:17" ht="14.4" customHeight="1" thickBot="1">
      <c r="A171" s="131" t="s">
        <v>5</v>
      </c>
      <c r="B171" s="64"/>
      <c r="C171" s="64"/>
      <c r="D171" s="64"/>
      <c r="E171" s="64"/>
      <c r="F171" s="64"/>
      <c r="G171" s="64"/>
      <c r="H171" s="65"/>
      <c r="J171" s="21" t="s">
        <v>85</v>
      </c>
      <c r="K171" s="82">
        <v>0.04</v>
      </c>
      <c r="L171" s="5"/>
      <c r="M171" s="13"/>
    </row>
    <row r="172" spans="1:17" ht="14.4" customHeight="1">
      <c r="A172" s="838" t="s">
        <v>184</v>
      </c>
      <c r="B172" s="839"/>
      <c r="C172" s="839"/>
      <c r="D172" s="839"/>
      <c r="E172" s="839"/>
      <c r="F172" s="839"/>
      <c r="G172" s="839"/>
      <c r="H172" s="840"/>
      <c r="J172" s="21"/>
      <c r="K172" s="5"/>
      <c r="L172" s="5"/>
      <c r="M172" s="13"/>
    </row>
    <row r="173" spans="1:17" ht="14.4" customHeight="1">
      <c r="A173" s="938"/>
      <c r="B173" s="939"/>
      <c r="C173" s="939"/>
      <c r="D173" s="939"/>
      <c r="E173" s="939"/>
      <c r="F173" s="939"/>
      <c r="G173" s="939"/>
      <c r="H173" s="940"/>
      <c r="J173" s="21" t="s">
        <v>84</v>
      </c>
      <c r="K173" s="80">
        <v>12</v>
      </c>
      <c r="L173" s="5" t="s">
        <v>144</v>
      </c>
      <c r="M173" s="89">
        <f>FV(K178,K169,-K167,,K175)</f>
        <v>4083442.5150132501</v>
      </c>
    </row>
    <row r="174" spans="1:17" ht="14.4" customHeight="1">
      <c r="A174" s="938"/>
      <c r="B174" s="939"/>
      <c r="C174" s="939"/>
      <c r="D174" s="939"/>
      <c r="E174" s="939"/>
      <c r="F174" s="939"/>
      <c r="G174" s="939"/>
      <c r="H174" s="940"/>
      <c r="J174" s="21"/>
      <c r="K174" s="5"/>
      <c r="L174" s="5"/>
      <c r="M174" s="13"/>
    </row>
    <row r="175" spans="1:17" ht="14.4" customHeight="1">
      <c r="A175" s="938"/>
      <c r="B175" s="939"/>
      <c r="C175" s="939"/>
      <c r="D175" s="939"/>
      <c r="E175" s="939"/>
      <c r="F175" s="939"/>
      <c r="G175" s="939"/>
      <c r="H175" s="940"/>
      <c r="J175" s="91" t="s">
        <v>83</v>
      </c>
      <c r="K175" s="80">
        <v>0</v>
      </c>
      <c r="L175" s="5"/>
      <c r="M175" s="13"/>
    </row>
    <row r="176" spans="1:17" ht="14.4" customHeight="1">
      <c r="A176" s="938"/>
      <c r="B176" s="939"/>
      <c r="C176" s="939"/>
      <c r="D176" s="939"/>
      <c r="E176" s="939"/>
      <c r="F176" s="939"/>
      <c r="G176" s="939"/>
      <c r="H176" s="940"/>
      <c r="J176" s="21" t="s">
        <v>88</v>
      </c>
      <c r="K176" s="5"/>
      <c r="L176" s="5"/>
      <c r="M176" s="13"/>
    </row>
    <row r="177" spans="1:13" ht="14.4" customHeight="1">
      <c r="A177" s="938"/>
      <c r="B177" s="939"/>
      <c r="C177" s="939"/>
      <c r="D177" s="939"/>
      <c r="E177" s="939"/>
      <c r="F177" s="939"/>
      <c r="G177" s="939"/>
      <c r="H177" s="940"/>
      <c r="J177" s="21"/>
      <c r="K177" s="5"/>
      <c r="L177" s="5"/>
      <c r="M177" s="13"/>
    </row>
    <row r="178" spans="1:13" ht="14.4" customHeight="1" thickBot="1">
      <c r="A178" s="941"/>
      <c r="B178" s="942"/>
      <c r="C178" s="942"/>
      <c r="D178" s="942"/>
      <c r="E178" s="942"/>
      <c r="F178" s="942"/>
      <c r="G178" s="942"/>
      <c r="H178" s="943"/>
      <c r="J178" s="90" t="s">
        <v>89</v>
      </c>
      <c r="K178" s="88">
        <f>K171/K173</f>
        <v>3.3333333333333335E-3</v>
      </c>
      <c r="L178" s="86"/>
      <c r="M178" s="87"/>
    </row>
    <row r="179" spans="1:13" ht="14.4" customHeight="1" thickBot="1">
      <c r="A179" s="94"/>
      <c r="B179" s="94"/>
      <c r="C179" s="94"/>
      <c r="D179" s="94"/>
      <c r="E179" s="94"/>
      <c r="F179" s="94"/>
      <c r="G179" s="94"/>
      <c r="H179" s="94"/>
    </row>
    <row r="180" spans="1:13" ht="14.4" customHeight="1" thickBot="1">
      <c r="A180" s="977" t="s">
        <v>638</v>
      </c>
      <c r="B180" s="978"/>
      <c r="C180" s="978"/>
      <c r="D180" s="978"/>
      <c r="E180" s="978"/>
      <c r="F180" s="978"/>
      <c r="G180" s="978"/>
      <c r="H180" s="978"/>
      <c r="I180" s="978"/>
      <c r="J180" s="978"/>
      <c r="K180" s="978"/>
      <c r="L180" s="978"/>
      <c r="M180" s="979"/>
    </row>
    <row r="181" spans="1:13" ht="14.4" customHeight="1" thickBot="1">
      <c r="A181" s="927" t="s">
        <v>640</v>
      </c>
      <c r="B181" s="927"/>
      <c r="C181" s="927"/>
      <c r="D181" s="94"/>
      <c r="E181" s="94"/>
      <c r="F181" s="94"/>
      <c r="G181" s="94"/>
      <c r="H181" s="94"/>
    </row>
    <row r="182" spans="1:13" ht="15" thickBot="1">
      <c r="A182" s="922" t="s">
        <v>91</v>
      </c>
      <c r="B182" s="110" t="s">
        <v>92</v>
      </c>
      <c r="C182" s="110" t="s">
        <v>93</v>
      </c>
      <c r="D182" s="110" t="s">
        <v>94</v>
      </c>
      <c r="E182" s="110" t="s">
        <v>94</v>
      </c>
    </row>
    <row r="183" spans="1:13" ht="15" thickBot="1">
      <c r="A183" s="923"/>
      <c r="B183" s="111" t="s">
        <v>114</v>
      </c>
      <c r="C183" s="111" t="s">
        <v>114</v>
      </c>
      <c r="D183" s="111" t="s">
        <v>41</v>
      </c>
      <c r="E183" s="111" t="s">
        <v>95</v>
      </c>
    </row>
    <row r="184" spans="1:13" ht="15" thickBot="1">
      <c r="A184" s="924" t="s">
        <v>96</v>
      </c>
      <c r="B184" s="925"/>
      <c r="C184" s="925"/>
      <c r="D184" s="925"/>
      <c r="E184" s="926"/>
    </row>
    <row r="185" spans="1:13" ht="15" thickBot="1">
      <c r="A185" s="96" t="s">
        <v>113</v>
      </c>
      <c r="B185" s="102">
        <v>27000</v>
      </c>
      <c r="C185" s="102">
        <v>32500</v>
      </c>
      <c r="D185" s="103">
        <f>B185/$B$199</f>
        <v>0.375</v>
      </c>
      <c r="E185" s="103">
        <f>C185/$C$199</f>
        <v>0.46787498380432746</v>
      </c>
    </row>
    <row r="186" spans="1:13" ht="15" thickBot="1">
      <c r="A186" s="99" t="s">
        <v>115</v>
      </c>
      <c r="B186" s="100">
        <v>15000</v>
      </c>
      <c r="C186" s="100">
        <v>14900</v>
      </c>
      <c r="D186" s="104">
        <f>B186/$B$199</f>
        <v>0.20833333333333334</v>
      </c>
      <c r="E186" s="104">
        <f>C186/C199</f>
        <v>0.21450268488259938</v>
      </c>
    </row>
    <row r="187" spans="1:13" ht="28.2" thickBot="1">
      <c r="A187" s="96" t="s">
        <v>97</v>
      </c>
      <c r="B187" s="102">
        <v>30000</v>
      </c>
      <c r="C187" s="102">
        <v>22063</v>
      </c>
      <c r="D187" s="103">
        <f t="shared" ref="D187" si="0">B187/$B$199</f>
        <v>0.41666666666666669</v>
      </c>
      <c r="E187" s="103">
        <f>C187/$C$199</f>
        <v>0.31762233131307316</v>
      </c>
    </row>
    <row r="188" spans="1:13" ht="15" thickBot="1">
      <c r="A188" s="924" t="s">
        <v>98</v>
      </c>
      <c r="B188" s="925"/>
      <c r="C188" s="925"/>
      <c r="D188" s="925"/>
      <c r="E188" s="926"/>
    </row>
    <row r="189" spans="1:13" ht="28.2" thickBot="1">
      <c r="A189" s="96" t="s">
        <v>99</v>
      </c>
      <c r="B189" s="102">
        <v>25000</v>
      </c>
      <c r="C189" s="102">
        <v>25523</v>
      </c>
      <c r="D189" s="103">
        <f t="shared" ref="D189:D197" si="1">B189/$B$200</f>
        <v>0.51546391752577314</v>
      </c>
      <c r="E189" s="105">
        <f t="shared" ref="E189:E194" si="2">C189/B189</f>
        <v>1.02092</v>
      </c>
    </row>
    <row r="190" spans="1:13" ht="15" thickBot="1">
      <c r="A190" s="99" t="s">
        <v>100</v>
      </c>
      <c r="B190" s="100">
        <v>6000</v>
      </c>
      <c r="C190" s="100">
        <v>5690</v>
      </c>
      <c r="D190" s="104">
        <f t="shared" si="1"/>
        <v>0.12371134020618557</v>
      </c>
      <c r="E190" s="107">
        <f t="shared" si="2"/>
        <v>0.94833333333333336</v>
      </c>
    </row>
    <row r="191" spans="1:13" ht="15" thickBot="1">
      <c r="A191" s="96" t="s">
        <v>101</v>
      </c>
      <c r="B191" s="102">
        <v>3000</v>
      </c>
      <c r="C191" s="102">
        <v>6482</v>
      </c>
      <c r="D191" s="103">
        <f t="shared" si="1"/>
        <v>6.1855670103092786E-2</v>
      </c>
      <c r="E191" s="105">
        <f t="shared" si="2"/>
        <v>2.1606666666666667</v>
      </c>
    </row>
    <row r="192" spans="1:13" ht="15" thickBot="1">
      <c r="A192" s="99" t="s">
        <v>102</v>
      </c>
      <c r="B192" s="100">
        <v>3000</v>
      </c>
      <c r="C192" s="100">
        <v>2280</v>
      </c>
      <c r="D192" s="104">
        <f t="shared" si="1"/>
        <v>6.1855670103092786E-2</v>
      </c>
      <c r="E192" s="107">
        <f t="shared" si="2"/>
        <v>0.76</v>
      </c>
    </row>
    <row r="193" spans="1:6" ht="28.2" thickBot="1">
      <c r="A193" s="96" t="s">
        <v>103</v>
      </c>
      <c r="B193" s="102">
        <v>4000</v>
      </c>
      <c r="C193" s="102">
        <v>3678</v>
      </c>
      <c r="D193" s="103">
        <f t="shared" si="1"/>
        <v>8.247422680412371E-2</v>
      </c>
      <c r="E193" s="103">
        <f t="shared" si="2"/>
        <v>0.91949999999999998</v>
      </c>
    </row>
    <row r="194" spans="1:6" ht="15" thickBot="1">
      <c r="A194" s="99" t="s">
        <v>104</v>
      </c>
      <c r="B194" s="100">
        <v>3000</v>
      </c>
      <c r="C194" s="100">
        <v>3315</v>
      </c>
      <c r="D194" s="104">
        <f t="shared" si="1"/>
        <v>6.1855670103092786E-2</v>
      </c>
      <c r="E194" s="108">
        <f t="shared" si="2"/>
        <v>1.105</v>
      </c>
    </row>
    <row r="195" spans="1:6" ht="15" thickBot="1">
      <c r="A195" s="96" t="s">
        <v>105</v>
      </c>
      <c r="B195" s="97">
        <v>0</v>
      </c>
      <c r="C195" s="102">
        <v>17025</v>
      </c>
      <c r="D195" s="103">
        <f t="shared" si="1"/>
        <v>0</v>
      </c>
      <c r="E195" s="106" t="s">
        <v>116</v>
      </c>
      <c r="F195" s="95"/>
    </row>
    <row r="196" spans="1:6" ht="15" thickBot="1">
      <c r="A196" s="99" t="s">
        <v>106</v>
      </c>
      <c r="B196" s="100">
        <v>3000</v>
      </c>
      <c r="C196" s="100">
        <v>1905</v>
      </c>
      <c r="D196" s="104">
        <f t="shared" si="1"/>
        <v>6.1855670103092786E-2</v>
      </c>
      <c r="E196" s="107">
        <f>C196/B196</f>
        <v>0.63500000000000001</v>
      </c>
    </row>
    <row r="197" spans="1:6" ht="15" thickBot="1">
      <c r="A197" s="96" t="s">
        <v>107</v>
      </c>
      <c r="B197" s="102">
        <v>1500</v>
      </c>
      <c r="C197" s="102">
        <v>1450</v>
      </c>
      <c r="D197" s="103">
        <f t="shared" si="1"/>
        <v>3.0927835051546393E-2</v>
      </c>
      <c r="E197" s="103">
        <f>C197/B197</f>
        <v>0.96666666666666667</v>
      </c>
    </row>
    <row r="198" spans="1:6" ht="15" thickBot="1">
      <c r="A198" s="924" t="s">
        <v>108</v>
      </c>
      <c r="B198" s="925"/>
      <c r="C198" s="925"/>
      <c r="D198" s="925"/>
      <c r="E198" s="926"/>
    </row>
    <row r="199" spans="1:6" ht="15" thickBot="1">
      <c r="A199" s="96" t="s">
        <v>109</v>
      </c>
      <c r="B199" s="102">
        <f>SUM(B185:B187)</f>
        <v>72000</v>
      </c>
      <c r="C199" s="102">
        <f>SUM(C185:C187)</f>
        <v>69463</v>
      </c>
      <c r="D199" s="98"/>
      <c r="E199" s="109">
        <f>C199/B199</f>
        <v>0.96476388888888887</v>
      </c>
    </row>
    <row r="200" spans="1:6" ht="15" thickBot="1">
      <c r="A200" s="99" t="s">
        <v>110</v>
      </c>
      <c r="B200" s="100">
        <f>SUM(B189:B197)</f>
        <v>48500</v>
      </c>
      <c r="C200" s="100">
        <f>SUM(C189:C197)</f>
        <v>67348</v>
      </c>
      <c r="D200" s="101"/>
      <c r="E200" s="108">
        <f>C200/B200</f>
        <v>1.388618556701031</v>
      </c>
      <c r="F200" s="95"/>
    </row>
    <row r="201" spans="1:6" ht="42" thickBot="1">
      <c r="A201" s="96" t="s">
        <v>111</v>
      </c>
      <c r="B201" s="102">
        <v>30323</v>
      </c>
      <c r="C201" s="102">
        <v>38823</v>
      </c>
      <c r="D201" s="98"/>
      <c r="E201" s="98"/>
    </row>
    <row r="202" spans="1:6" ht="15" thickBot="1">
      <c r="A202" s="99" t="s">
        <v>112</v>
      </c>
      <c r="B202" s="100">
        <f>B199-B200+B201</f>
        <v>53823</v>
      </c>
      <c r="C202" s="100">
        <f>C199-C200+C201</f>
        <v>40938</v>
      </c>
      <c r="D202" s="101"/>
      <c r="E202" s="101"/>
    </row>
    <row r="204" spans="1:6" ht="16.2" customHeight="1">
      <c r="A204" s="952" t="s">
        <v>639</v>
      </c>
      <c r="B204" s="952"/>
      <c r="C204" s="952"/>
      <c r="D204" s="952"/>
      <c r="E204" s="120">
        <v>20000</v>
      </c>
      <c r="F204" s="123"/>
    </row>
    <row r="205" spans="1:6" ht="16.2" customHeight="1">
      <c r="A205" s="952" t="s">
        <v>142</v>
      </c>
      <c r="B205" s="952"/>
      <c r="C205" s="952"/>
      <c r="D205" s="952"/>
      <c r="E205" s="952"/>
      <c r="F205" s="952"/>
    </row>
    <row r="206" spans="1:6" ht="16.2" customHeight="1">
      <c r="A206" s="952" t="s">
        <v>135</v>
      </c>
      <c r="B206" s="952"/>
      <c r="C206" s="952"/>
      <c r="D206" s="124"/>
      <c r="E206" s="120">
        <v>7000</v>
      </c>
      <c r="F206" s="121"/>
    </row>
    <row r="207" spans="1:6" ht="16.2" customHeight="1" thickBot="1">
      <c r="A207" s="121" t="s">
        <v>137</v>
      </c>
      <c r="B207" s="122">
        <v>43207</v>
      </c>
      <c r="C207" s="123"/>
      <c r="D207" s="124" t="s">
        <v>136</v>
      </c>
      <c r="E207" s="125">
        <v>7.0000000000000007E-2</v>
      </c>
      <c r="F207" s="121"/>
    </row>
    <row r="208" spans="1:6" ht="15" thickBot="1">
      <c r="A208" s="948" t="s">
        <v>117</v>
      </c>
      <c r="B208" s="948"/>
      <c r="C208" s="948"/>
      <c r="D208" s="948"/>
      <c r="E208" s="948"/>
      <c r="F208" s="948"/>
    </row>
    <row r="209" spans="1:12" ht="40.200000000000003" thickBot="1">
      <c r="A209" s="114" t="s">
        <v>118</v>
      </c>
      <c r="B209" s="114" t="s">
        <v>119</v>
      </c>
      <c r="C209" s="114" t="s">
        <v>120</v>
      </c>
      <c r="D209" s="114" t="s">
        <v>138</v>
      </c>
      <c r="E209" s="114" t="s">
        <v>121</v>
      </c>
      <c r="F209" s="114" t="s">
        <v>122</v>
      </c>
      <c r="J209" s="2"/>
    </row>
    <row r="210" spans="1:12" ht="15" thickBot="1">
      <c r="A210" s="115" t="s">
        <v>123</v>
      </c>
      <c r="B210" s="949">
        <f>E204*((1+$E$207/365)^(A211-B207)-1)</f>
        <v>115.38905163917867</v>
      </c>
      <c r="C210" s="950">
        <v>0</v>
      </c>
      <c r="D210" s="949">
        <f>B210</f>
        <v>115.38905163917867</v>
      </c>
      <c r="E210" s="951">
        <v>7000</v>
      </c>
      <c r="F210" s="949">
        <f>D210+E210+E204</f>
        <v>27115.389051639177</v>
      </c>
      <c r="H210" s="113"/>
    </row>
    <row r="211" spans="1:12" ht="15" thickBot="1">
      <c r="A211" s="116">
        <v>43237</v>
      </c>
      <c r="B211" s="949"/>
      <c r="C211" s="950"/>
      <c r="D211" s="949"/>
      <c r="E211" s="951"/>
      <c r="F211" s="950"/>
      <c r="H211" s="4"/>
    </row>
    <row r="212" spans="1:12" ht="15" thickBot="1">
      <c r="A212" s="115" t="s">
        <v>124</v>
      </c>
      <c r="B212" s="949">
        <f>F210*(1+$E$207/365)^(A213-A211)-F210</f>
        <v>161.67116534799061</v>
      </c>
      <c r="C212" s="950">
        <v>0</v>
      </c>
      <c r="D212" s="949">
        <f>B212</f>
        <v>161.67116534799061</v>
      </c>
      <c r="E212" s="951">
        <v>7000</v>
      </c>
      <c r="F212" s="949">
        <f>E212+B212+F210</f>
        <v>34277.060216987171</v>
      </c>
      <c r="H212" s="3"/>
    </row>
    <row r="213" spans="1:12" ht="15" thickBot="1">
      <c r="A213" s="116">
        <v>43268</v>
      </c>
      <c r="B213" s="949"/>
      <c r="C213" s="950"/>
      <c r="D213" s="950"/>
      <c r="E213" s="951"/>
      <c r="F213" s="950"/>
      <c r="H213" s="113" t="s">
        <v>141</v>
      </c>
      <c r="J213" s="112"/>
    </row>
    <row r="214" spans="1:12" ht="17.399999999999999" customHeight="1" thickBot="1">
      <c r="A214" s="115" t="s">
        <v>125</v>
      </c>
      <c r="B214" s="949">
        <f>F212*(1+$E$207/365)^(A215-A213)-F212</f>
        <v>197.75987357085978</v>
      </c>
      <c r="C214" s="950">
        <v>0</v>
      </c>
      <c r="D214" s="949">
        <f>B214</f>
        <v>197.75987357085978</v>
      </c>
      <c r="E214" s="951">
        <v>7000</v>
      </c>
      <c r="F214" s="949">
        <f>E214+B214+F212</f>
        <v>41474.820090558031</v>
      </c>
      <c r="H214" s="4" t="s">
        <v>140</v>
      </c>
      <c r="I214" s="282"/>
      <c r="J214" s="282"/>
      <c r="K214" s="282"/>
      <c r="L214" s="282"/>
    </row>
    <row r="215" spans="1:12" ht="15" customHeight="1" thickBot="1">
      <c r="A215" s="116">
        <v>43298</v>
      </c>
      <c r="B215" s="949"/>
      <c r="C215" s="950"/>
      <c r="D215" s="950"/>
      <c r="E215" s="951"/>
      <c r="F215" s="950"/>
      <c r="H215" s="282"/>
      <c r="I215" s="282"/>
      <c r="J215" s="282"/>
      <c r="K215" s="282"/>
      <c r="L215" s="282"/>
    </row>
    <row r="216" spans="1:12" ht="15" customHeight="1" thickBot="1">
      <c r="A216" s="115" t="s">
        <v>126</v>
      </c>
      <c r="B216" s="949">
        <f>F214*(1+$E$207/365)^(A217-A215)-F214</f>
        <v>247.2869736026696</v>
      </c>
      <c r="C216" s="950">
        <v>0</v>
      </c>
      <c r="D216" s="949">
        <f t="shared" ref="D216" si="3">B216</f>
        <v>247.2869736026696</v>
      </c>
      <c r="E216" s="951">
        <v>7000</v>
      </c>
      <c r="F216" s="949">
        <f t="shared" ref="F216" si="4">E216+B216+F214</f>
        <v>48722.1070641607</v>
      </c>
      <c r="H216" s="282"/>
      <c r="I216" s="282"/>
      <c r="J216" s="282"/>
      <c r="K216" s="282"/>
      <c r="L216" s="282"/>
    </row>
    <row r="217" spans="1:12" ht="15" customHeight="1" thickBot="1">
      <c r="A217" s="116">
        <v>43329</v>
      </c>
      <c r="B217" s="949"/>
      <c r="C217" s="950"/>
      <c r="D217" s="950"/>
      <c r="E217" s="951"/>
      <c r="F217" s="950"/>
      <c r="H217" s="282"/>
      <c r="I217" s="282"/>
      <c r="J217" s="282"/>
      <c r="K217" s="282"/>
      <c r="L217" s="282"/>
    </row>
    <row r="218" spans="1:12" ht="15" customHeight="1" thickBot="1">
      <c r="A218" s="115" t="s">
        <v>127</v>
      </c>
      <c r="B218" s="949">
        <f>F216*(1+$E$207/365)^(A219-A217)-F216</f>
        <v>290.49776170540281</v>
      </c>
      <c r="C218" s="950">
        <v>0</v>
      </c>
      <c r="D218" s="949">
        <f t="shared" ref="D218" si="5">B218</f>
        <v>290.49776170540281</v>
      </c>
      <c r="E218" s="951">
        <v>7000</v>
      </c>
      <c r="F218" s="949">
        <f t="shared" ref="F218" si="6">E218+B218+F216</f>
        <v>56012.604825866103</v>
      </c>
      <c r="H218" s="282"/>
      <c r="I218" s="282"/>
      <c r="J218" s="282"/>
      <c r="K218" s="282"/>
      <c r="L218" s="282"/>
    </row>
    <row r="219" spans="1:12" ht="15" customHeight="1" thickBot="1">
      <c r="A219" s="116">
        <v>43360</v>
      </c>
      <c r="B219" s="949"/>
      <c r="C219" s="950"/>
      <c r="D219" s="950"/>
      <c r="E219" s="951"/>
      <c r="F219" s="950"/>
      <c r="H219" s="282"/>
      <c r="I219" s="282"/>
      <c r="J219" s="282"/>
      <c r="K219" s="282"/>
      <c r="L219" s="282"/>
    </row>
    <row r="220" spans="1:12" ht="15" customHeight="1" thickBot="1">
      <c r="A220" s="115" t="s">
        <v>128</v>
      </c>
      <c r="B220" s="949">
        <f>F218*(1+$E$207/365)^(A221-A219)-F218</f>
        <v>323.16206753483857</v>
      </c>
      <c r="C220" s="950">
        <v>0</v>
      </c>
      <c r="D220" s="949">
        <f t="shared" ref="D220" si="7">B220</f>
        <v>323.16206753483857</v>
      </c>
      <c r="E220" s="951">
        <v>7000</v>
      </c>
      <c r="F220" s="949">
        <f t="shared" ref="F220" si="8">E220+B220+F218</f>
        <v>63335.766893400942</v>
      </c>
      <c r="H220" s="282"/>
      <c r="I220" s="282"/>
      <c r="J220" s="282"/>
      <c r="K220" s="282"/>
      <c r="L220" s="282"/>
    </row>
    <row r="221" spans="1:12" ht="15" customHeight="1" thickBot="1">
      <c r="A221" s="116">
        <v>43390</v>
      </c>
      <c r="B221" s="949"/>
      <c r="C221" s="950"/>
      <c r="D221" s="950"/>
      <c r="E221" s="951"/>
      <c r="F221" s="950"/>
      <c r="H221" s="282"/>
      <c r="I221" s="282"/>
      <c r="J221" s="282"/>
      <c r="K221" s="282"/>
      <c r="L221" s="282"/>
    </row>
    <row r="222" spans="1:12" ht="15" thickBot="1">
      <c r="A222" s="115" t="s">
        <v>129</v>
      </c>
      <c r="B222" s="949">
        <f>F220*(1+$E$207/365)^(A223-A221)-F220</f>
        <v>377.62936841379269</v>
      </c>
      <c r="C222" s="950">
        <v>0</v>
      </c>
      <c r="D222" s="949">
        <f t="shared" ref="D222" si="9">B222</f>
        <v>377.62936841379269</v>
      </c>
      <c r="E222" s="951">
        <v>7000</v>
      </c>
      <c r="F222" s="949">
        <f t="shared" ref="F222" si="10">E222+B222+F220</f>
        <v>70713.396261814734</v>
      </c>
      <c r="J222" s="3"/>
    </row>
    <row r="223" spans="1:12" ht="15" thickBot="1">
      <c r="A223" s="116">
        <v>43421</v>
      </c>
      <c r="B223" s="949"/>
      <c r="C223" s="950"/>
      <c r="D223" s="950"/>
      <c r="E223" s="951"/>
      <c r="F223" s="950"/>
    </row>
    <row r="224" spans="1:12" ht="15" thickBot="1">
      <c r="A224" s="115" t="s">
        <v>130</v>
      </c>
      <c r="B224" s="949">
        <f>F222*(1+$E$207/365)^(A225-A223)-F222</f>
        <v>407.97758664180583</v>
      </c>
      <c r="C224" s="950">
        <v>0</v>
      </c>
      <c r="D224" s="949">
        <f t="shared" ref="D224" si="11">B224</f>
        <v>407.97758664180583</v>
      </c>
      <c r="E224" s="951">
        <v>7000</v>
      </c>
      <c r="F224" s="949">
        <f t="shared" ref="F224" si="12">E224+B224+F222</f>
        <v>78121.37384845654</v>
      </c>
    </row>
    <row r="225" spans="1:6" ht="15" thickBot="1">
      <c r="A225" s="116">
        <v>43451</v>
      </c>
      <c r="B225" s="949"/>
      <c r="C225" s="950"/>
      <c r="D225" s="950"/>
      <c r="E225" s="951"/>
      <c r="F225" s="950"/>
    </row>
    <row r="226" spans="1:6" ht="15" thickBot="1">
      <c r="A226" s="115" t="s">
        <v>131</v>
      </c>
      <c r="B226" s="949">
        <f>F224*(1+$E$207/365)^(A227-A225)-F224</f>
        <v>465.78618232668668</v>
      </c>
      <c r="C226" s="950">
        <v>0</v>
      </c>
      <c r="D226" s="949">
        <f t="shared" ref="D226" si="13">B226</f>
        <v>465.78618232668668</v>
      </c>
      <c r="E226" s="951">
        <v>7000</v>
      </c>
      <c r="F226" s="949">
        <f t="shared" ref="F226" si="14">E226+B226+F224</f>
        <v>85587.160030783227</v>
      </c>
    </row>
    <row r="227" spans="1:6" ht="15" thickBot="1">
      <c r="A227" s="116">
        <v>43482</v>
      </c>
      <c r="B227" s="949"/>
      <c r="C227" s="950"/>
      <c r="D227" s="950"/>
      <c r="E227" s="951"/>
      <c r="F227" s="950"/>
    </row>
    <row r="228" spans="1:6" ht="15" thickBot="1">
      <c r="A228" s="115" t="s">
        <v>132</v>
      </c>
      <c r="B228" s="949">
        <f>F226*(1+$E$207/365)^(A229-A227)-F226</f>
        <v>510.2997369740915</v>
      </c>
      <c r="C228" s="950">
        <v>0</v>
      </c>
      <c r="D228" s="949">
        <f t="shared" ref="D228" si="15">B228</f>
        <v>510.2997369740915</v>
      </c>
      <c r="E228" s="951">
        <v>7000</v>
      </c>
      <c r="F228" s="949">
        <f t="shared" ref="F228" si="16">E228+B228+F226</f>
        <v>93097.459767757318</v>
      </c>
    </row>
    <row r="229" spans="1:6" ht="15" thickBot="1">
      <c r="A229" s="116">
        <v>43513</v>
      </c>
      <c r="B229" s="949"/>
      <c r="C229" s="950"/>
      <c r="D229" s="950"/>
      <c r="E229" s="951"/>
      <c r="F229" s="950"/>
    </row>
    <row r="230" spans="1:6" ht="15" thickBot="1">
      <c r="A230" s="115" t="s">
        <v>133</v>
      </c>
      <c r="B230" s="949">
        <f>F228*(1+$E$207/365)^(A231-A229)-F228</f>
        <v>501.21707473193237</v>
      </c>
      <c r="C230" s="950">
        <v>0</v>
      </c>
      <c r="D230" s="949">
        <f t="shared" ref="D230" si="17">B230</f>
        <v>501.21707473193237</v>
      </c>
      <c r="E230" s="951">
        <v>7000</v>
      </c>
      <c r="F230" s="949">
        <f t="shared" ref="F230" si="18">E230+B230+F228</f>
        <v>100598.67684248925</v>
      </c>
    </row>
    <row r="231" spans="1:6" ht="15" thickBot="1">
      <c r="A231" s="116">
        <v>43541</v>
      </c>
      <c r="B231" s="949"/>
      <c r="C231" s="950"/>
      <c r="D231" s="950"/>
      <c r="E231" s="951"/>
      <c r="F231" s="950"/>
    </row>
    <row r="232" spans="1:6" ht="15" thickBot="1">
      <c r="A232" s="115" t="s">
        <v>134</v>
      </c>
      <c r="B232" s="949">
        <f>F230*(1+$E$207/365)^(A233-A231)-F230</f>
        <v>599.80350223327696</v>
      </c>
      <c r="C232" s="950">
        <v>0</v>
      </c>
      <c r="D232" s="949">
        <f t="shared" ref="D232" si="19">B232</f>
        <v>599.80350223327696</v>
      </c>
      <c r="E232" s="950">
        <v>0</v>
      </c>
      <c r="F232" s="949">
        <f t="shared" ref="F232" si="20">E232+B232+F230</f>
        <v>101198.48034472253</v>
      </c>
    </row>
    <row r="233" spans="1:6" ht="15" thickBot="1">
      <c r="A233" s="116">
        <v>43572</v>
      </c>
      <c r="B233" s="949"/>
      <c r="C233" s="950"/>
      <c r="D233" s="950"/>
      <c r="E233" s="950"/>
      <c r="F233" s="950"/>
    </row>
    <row r="234" spans="1:6" ht="15" thickBot="1">
      <c r="A234" s="117" t="s">
        <v>139</v>
      </c>
      <c r="B234" s="118">
        <f>SUM(B210:B233)</f>
        <v>4198.4803447225258</v>
      </c>
      <c r="C234" s="117"/>
      <c r="D234" s="117"/>
      <c r="E234" s="119">
        <f>SUM(E210:E233)</f>
        <v>77000</v>
      </c>
      <c r="F234" s="118">
        <f>F232</f>
        <v>101198.48034472253</v>
      </c>
    </row>
    <row r="241" spans="10:13">
      <c r="J241" s="129"/>
      <c r="K241" s="129"/>
      <c r="L241" s="129"/>
      <c r="M241" s="129"/>
    </row>
    <row r="242" spans="10:13">
      <c r="J242" s="129"/>
      <c r="K242" s="129"/>
      <c r="L242" s="129"/>
      <c r="M242" s="129"/>
    </row>
    <row r="243" spans="10:13">
      <c r="J243" s="129"/>
      <c r="K243" s="129"/>
      <c r="L243" s="129"/>
      <c r="M243" s="129"/>
    </row>
    <row r="244" spans="10:13">
      <c r="J244" s="129"/>
      <c r="K244" s="129"/>
      <c r="L244" s="129"/>
      <c r="M244" s="129"/>
    </row>
    <row r="245" spans="10:13">
      <c r="J245" s="129"/>
      <c r="K245" s="129"/>
      <c r="L245" s="129"/>
      <c r="M245" s="129"/>
    </row>
    <row r="246" spans="10:13">
      <c r="J246" s="129"/>
      <c r="K246" s="129"/>
      <c r="L246" s="129"/>
      <c r="M246" s="129"/>
    </row>
    <row r="247" spans="10:13">
      <c r="J247" s="129"/>
      <c r="K247" s="129"/>
      <c r="L247" s="129"/>
      <c r="M247" s="129"/>
    </row>
    <row r="248" spans="10:13">
      <c r="J248" s="129"/>
      <c r="K248" s="129"/>
      <c r="L248" s="129"/>
      <c r="M248" s="129"/>
    </row>
    <row r="249" spans="10:13">
      <c r="J249" s="129"/>
      <c r="K249" s="129"/>
      <c r="L249" s="129"/>
      <c r="M249" s="129"/>
    </row>
    <row r="250" spans="10:13">
      <c r="J250" s="129"/>
      <c r="K250" s="129"/>
      <c r="L250" s="129"/>
      <c r="M250" s="129"/>
    </row>
    <row r="251" spans="10:13">
      <c r="J251" s="129"/>
      <c r="K251" s="129"/>
      <c r="L251" s="129"/>
      <c r="M251" s="129"/>
    </row>
    <row r="252" spans="10:13">
      <c r="J252" s="129"/>
      <c r="K252" s="129"/>
      <c r="L252" s="129"/>
      <c r="M252" s="129"/>
    </row>
    <row r="253" spans="10:13">
      <c r="J253" s="129"/>
      <c r="K253" s="129"/>
      <c r="L253" s="129"/>
      <c r="M253" s="129"/>
    </row>
    <row r="254" spans="10:13">
      <c r="J254" s="129"/>
      <c r="K254" s="129"/>
      <c r="L254" s="129"/>
      <c r="M254" s="129"/>
    </row>
    <row r="255" spans="10:13">
      <c r="J255" s="129"/>
      <c r="K255" s="129"/>
      <c r="L255" s="129"/>
      <c r="M255" s="129"/>
    </row>
    <row r="256" spans="10:13">
      <c r="J256" s="129"/>
      <c r="K256" s="129"/>
      <c r="L256" s="129"/>
      <c r="M256" s="129"/>
    </row>
  </sheetData>
  <mergeCells count="145">
    <mergeCell ref="A1:L3"/>
    <mergeCell ref="A53:F53"/>
    <mergeCell ref="A67:H67"/>
    <mergeCell ref="A34:L34"/>
    <mergeCell ref="A4:L4"/>
    <mergeCell ref="A5:L5"/>
    <mergeCell ref="A90:L90"/>
    <mergeCell ref="A180:M180"/>
    <mergeCell ref="D220:D221"/>
    <mergeCell ref="E220:E221"/>
    <mergeCell ref="F220:F221"/>
    <mergeCell ref="B220:B221"/>
    <mergeCell ref="C220:C221"/>
    <mergeCell ref="B214:B215"/>
    <mergeCell ref="C214:C215"/>
    <mergeCell ref="D214:D215"/>
    <mergeCell ref="E214:E215"/>
    <mergeCell ref="F214:F215"/>
    <mergeCell ref="B212:B213"/>
    <mergeCell ref="C212:C213"/>
    <mergeCell ref="D212:D213"/>
    <mergeCell ref="E212:E213"/>
    <mergeCell ref="F212:F213"/>
    <mergeCell ref="B218:B219"/>
    <mergeCell ref="B224:B225"/>
    <mergeCell ref="C224:C225"/>
    <mergeCell ref="D224:D225"/>
    <mergeCell ref="E224:E225"/>
    <mergeCell ref="F224:F225"/>
    <mergeCell ref="B222:B223"/>
    <mergeCell ref="C222:C223"/>
    <mergeCell ref="D222:D223"/>
    <mergeCell ref="E222:E223"/>
    <mergeCell ref="F222:F223"/>
    <mergeCell ref="B228:B229"/>
    <mergeCell ref="C228:C229"/>
    <mergeCell ref="D228:D229"/>
    <mergeCell ref="E228:E229"/>
    <mergeCell ref="F228:F229"/>
    <mergeCell ref="B226:B227"/>
    <mergeCell ref="C226:C227"/>
    <mergeCell ref="D226:D227"/>
    <mergeCell ref="E226:E227"/>
    <mergeCell ref="F226:F227"/>
    <mergeCell ref="B232:B233"/>
    <mergeCell ref="C232:C233"/>
    <mergeCell ref="D232:D233"/>
    <mergeCell ref="E232:E233"/>
    <mergeCell ref="F232:F233"/>
    <mergeCell ref="B230:B231"/>
    <mergeCell ref="C230:C231"/>
    <mergeCell ref="D230:D231"/>
    <mergeCell ref="E230:E231"/>
    <mergeCell ref="F230:F231"/>
    <mergeCell ref="C218:C219"/>
    <mergeCell ref="D218:D219"/>
    <mergeCell ref="E218:E219"/>
    <mergeCell ref="F218:F219"/>
    <mergeCell ref="B216:B217"/>
    <mergeCell ref="C216:C217"/>
    <mergeCell ref="D216:D217"/>
    <mergeCell ref="E216:E217"/>
    <mergeCell ref="F216:F217"/>
    <mergeCell ref="A208:F208"/>
    <mergeCell ref="B210:B211"/>
    <mergeCell ref="C210:C211"/>
    <mergeCell ref="D210:D211"/>
    <mergeCell ref="E210:E211"/>
    <mergeCell ref="F210:F211"/>
    <mergeCell ref="A204:D204"/>
    <mergeCell ref="A205:F205"/>
    <mergeCell ref="A206:C206"/>
    <mergeCell ref="A182:A183"/>
    <mergeCell ref="A184:E184"/>
    <mergeCell ref="A188:E188"/>
    <mergeCell ref="A198:E198"/>
    <mergeCell ref="A181:C181"/>
    <mergeCell ref="A157:H159"/>
    <mergeCell ref="A166:H170"/>
    <mergeCell ref="A172:H178"/>
    <mergeCell ref="A161:H161"/>
    <mergeCell ref="A162:H162"/>
    <mergeCell ref="A164:G164"/>
    <mergeCell ref="A163:G163"/>
    <mergeCell ref="H8:J8"/>
    <mergeCell ref="F7:K7"/>
    <mergeCell ref="A35:H39"/>
    <mergeCell ref="A40:B40"/>
    <mergeCell ref="C40:D40"/>
    <mergeCell ref="A15:D15"/>
    <mergeCell ref="A7:D7"/>
    <mergeCell ref="F13:K13"/>
    <mergeCell ref="F16:K19"/>
    <mergeCell ref="F25:L31"/>
    <mergeCell ref="F22:L22"/>
    <mergeCell ref="A54:C54"/>
    <mergeCell ref="D54:F54"/>
    <mergeCell ref="A71:B71"/>
    <mergeCell ref="A68:D68"/>
    <mergeCell ref="A65:C65"/>
    <mergeCell ref="A73:B73"/>
    <mergeCell ref="A74:B74"/>
    <mergeCell ref="A77:C77"/>
    <mergeCell ref="A75:B75"/>
    <mergeCell ref="A76:C76"/>
    <mergeCell ref="E76:G76"/>
    <mergeCell ref="E68:H68"/>
    <mergeCell ref="E77:G77"/>
    <mergeCell ref="A79:D79"/>
    <mergeCell ref="E79:H79"/>
    <mergeCell ref="A78:C78"/>
    <mergeCell ref="E69:F69"/>
    <mergeCell ref="E70:F70"/>
    <mergeCell ref="E71:F71"/>
    <mergeCell ref="E72:F72"/>
    <mergeCell ref="E73:F73"/>
    <mergeCell ref="E74:F74"/>
    <mergeCell ref="E75:F75"/>
    <mergeCell ref="A70:B70"/>
    <mergeCell ref="A69:B69"/>
    <mergeCell ref="A72:B72"/>
    <mergeCell ref="A80:B80"/>
    <mergeCell ref="E80:F80"/>
    <mergeCell ref="A81:B81"/>
    <mergeCell ref="E81:F81"/>
    <mergeCell ref="A82:B82"/>
    <mergeCell ref="E82:F82"/>
    <mergeCell ref="A83:B83"/>
    <mergeCell ref="E83:F83"/>
    <mergeCell ref="A84:B84"/>
    <mergeCell ref="E84:F84"/>
    <mergeCell ref="A136:H136"/>
    <mergeCell ref="A109:H112"/>
    <mergeCell ref="A137:H144"/>
    <mergeCell ref="A145:H149"/>
    <mergeCell ref="A126:H134"/>
    <mergeCell ref="A85:B85"/>
    <mergeCell ref="E85:F85"/>
    <mergeCell ref="A91:H100"/>
    <mergeCell ref="A86:B86"/>
    <mergeCell ref="E86:F86"/>
    <mergeCell ref="A87:C87"/>
    <mergeCell ref="E87:G87"/>
    <mergeCell ref="A88:C88"/>
    <mergeCell ref="E88:G88"/>
  </mergeCells>
  <hyperlinks>
    <hyperlink ref="H213" r:id="rId1"/>
    <hyperlink ref="L147" r:id="rId2"/>
  </hyperlinks>
  <pageMargins left="0.25" right="0.25" top="0.75" bottom="0.75" header="0.3" footer="0.3"/>
  <pageSetup paperSize="8" scale="66"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topLeftCell="A274" workbookViewId="0">
      <selection sqref="A1:O3"/>
    </sheetView>
  </sheetViews>
  <sheetFormatPr defaultRowHeight="14.4"/>
  <cols>
    <col min="1" max="1" width="12.77734375" customWidth="1"/>
    <col min="2" max="2" width="13.109375" customWidth="1"/>
    <col min="3" max="3" width="16.77734375" customWidth="1"/>
    <col min="4" max="4" width="12.6640625" customWidth="1"/>
    <col min="5" max="5" width="16.6640625" customWidth="1"/>
    <col min="6" max="6" width="13.21875" customWidth="1"/>
    <col min="7" max="7" width="12.5546875" customWidth="1"/>
    <col min="8" max="8" width="13.6640625" customWidth="1"/>
    <col min="10" max="10" width="12.6640625" bestFit="1" customWidth="1"/>
    <col min="11" max="11" width="10.21875" customWidth="1"/>
    <col min="12" max="12" width="17.44140625" bestFit="1" customWidth="1"/>
    <col min="13" max="13" width="9" bestFit="1" customWidth="1"/>
    <col min="14" max="14" width="10.88671875" customWidth="1"/>
    <col min="15" max="15" width="19.109375" customWidth="1"/>
    <col min="16" max="18" width="9.44140625" bestFit="1" customWidth="1"/>
  </cols>
  <sheetData>
    <row r="1" spans="1:17" ht="14.4" customHeight="1">
      <c r="A1" s="953" t="s">
        <v>677</v>
      </c>
      <c r="B1" s="954"/>
      <c r="C1" s="954"/>
      <c r="D1" s="954"/>
      <c r="E1" s="954"/>
      <c r="F1" s="954"/>
      <c r="G1" s="954"/>
      <c r="H1" s="954"/>
      <c r="I1" s="954"/>
      <c r="J1" s="954"/>
      <c r="K1" s="954"/>
      <c r="L1" s="954"/>
      <c r="M1" s="954"/>
      <c r="N1" s="954"/>
      <c r="O1" s="955"/>
    </row>
    <row r="2" spans="1:17">
      <c r="A2" s="956"/>
      <c r="B2" s="957"/>
      <c r="C2" s="957"/>
      <c r="D2" s="957"/>
      <c r="E2" s="957"/>
      <c r="F2" s="957"/>
      <c r="G2" s="957"/>
      <c r="H2" s="957"/>
      <c r="I2" s="957"/>
      <c r="J2" s="957"/>
      <c r="K2" s="957"/>
      <c r="L2" s="957"/>
      <c r="M2" s="957"/>
      <c r="N2" s="957"/>
      <c r="O2" s="958"/>
    </row>
    <row r="3" spans="1:17" ht="15" thickBot="1">
      <c r="A3" s="959"/>
      <c r="B3" s="960"/>
      <c r="C3" s="960"/>
      <c r="D3" s="960"/>
      <c r="E3" s="960"/>
      <c r="F3" s="960"/>
      <c r="G3" s="960"/>
      <c r="H3" s="960"/>
      <c r="I3" s="960"/>
      <c r="J3" s="960"/>
      <c r="K3" s="960"/>
      <c r="L3" s="960"/>
      <c r="M3" s="960"/>
      <c r="N3" s="960"/>
      <c r="O3" s="961"/>
    </row>
    <row r="4" spans="1:17" ht="15" thickBot="1">
      <c r="A4" s="1030" t="s">
        <v>670</v>
      </c>
      <c r="B4" s="1031"/>
      <c r="C4" s="1031"/>
      <c r="D4" s="1031"/>
      <c r="E4" s="1031"/>
      <c r="F4" s="1031"/>
      <c r="G4" s="1031"/>
      <c r="H4" s="1031"/>
      <c r="I4" s="1031"/>
      <c r="J4" s="1031"/>
      <c r="K4" s="1031"/>
      <c r="L4" s="1031"/>
      <c r="M4" s="1031"/>
      <c r="N4" s="1031"/>
      <c r="O4" s="1032"/>
    </row>
    <row r="5" spans="1:17" ht="15" thickBot="1">
      <c r="A5" s="1033" t="s">
        <v>631</v>
      </c>
      <c r="B5" s="1034"/>
      <c r="C5" s="1034"/>
      <c r="D5" s="1034"/>
      <c r="E5" s="1034"/>
      <c r="F5" s="1034"/>
      <c r="G5" s="1034"/>
      <c r="H5" s="1034"/>
      <c r="I5" s="1034"/>
      <c r="J5" s="1034"/>
      <c r="K5" s="1034"/>
      <c r="L5" s="1034"/>
      <c r="M5" s="1034"/>
      <c r="N5" s="1034"/>
      <c r="O5" s="1035"/>
    </row>
    <row r="6" spans="1:17" ht="15" thickBot="1">
      <c r="A6" s="21"/>
      <c r="B6" s="5"/>
      <c r="C6" s="5"/>
      <c r="D6" s="5"/>
      <c r="E6" s="5"/>
      <c r="F6" s="5"/>
      <c r="G6" s="5"/>
      <c r="H6" s="5"/>
      <c r="I6" s="5"/>
      <c r="J6" s="5"/>
      <c r="K6" s="5"/>
      <c r="L6" s="5"/>
      <c r="M6" s="5"/>
      <c r="N6" s="5"/>
      <c r="O6" s="13"/>
    </row>
    <row r="7" spans="1:17" ht="15" customHeight="1" thickBot="1">
      <c r="A7" s="898" t="s">
        <v>641</v>
      </c>
      <c r="B7" s="899"/>
      <c r="C7" s="900"/>
      <c r="D7" s="134"/>
      <c r="E7" s="140"/>
      <c r="F7" s="140"/>
      <c r="G7" s="140"/>
      <c r="H7" s="140"/>
      <c r="I7" s="5"/>
      <c r="J7" s="983" t="s">
        <v>642</v>
      </c>
      <c r="K7" s="886"/>
      <c r="L7" s="886"/>
      <c r="M7" s="886"/>
      <c r="N7" s="886"/>
      <c r="O7" s="887"/>
    </row>
    <row r="8" spans="1:17" ht="14.4" customHeight="1">
      <c r="A8" s="136" t="s">
        <v>149</v>
      </c>
      <c r="B8" s="137"/>
      <c r="C8" s="138"/>
      <c r="D8" s="139"/>
      <c r="E8" s="140"/>
      <c r="F8" s="140"/>
      <c r="G8" s="140"/>
      <c r="H8" s="140"/>
      <c r="I8" s="5"/>
      <c r="J8" s="1048" t="s">
        <v>187</v>
      </c>
      <c r="K8" s="1049"/>
      <c r="L8" s="1049"/>
      <c r="M8" s="1049"/>
      <c r="N8" s="1049"/>
      <c r="O8" s="1050"/>
    </row>
    <row r="9" spans="1:17" ht="32.4" customHeight="1" thickBot="1">
      <c r="A9" s="141">
        <v>42736</v>
      </c>
      <c r="B9" s="142">
        <f>A10-A9</f>
        <v>911</v>
      </c>
      <c r="C9" s="143"/>
      <c r="D9" s="140"/>
      <c r="E9" s="140"/>
      <c r="F9" s="140"/>
      <c r="G9" s="140"/>
      <c r="H9" s="140"/>
      <c r="I9" s="5"/>
      <c r="J9" s="1002"/>
      <c r="K9" s="1003"/>
      <c r="L9" s="1003"/>
      <c r="M9" s="1003"/>
      <c r="N9" s="1003"/>
      <c r="O9" s="1004"/>
    </row>
    <row r="10" spans="1:17" ht="15" thickBot="1">
      <c r="A10" s="144">
        <v>43647</v>
      </c>
      <c r="B10" s="145"/>
      <c r="C10" s="146"/>
      <c r="D10" s="140"/>
      <c r="E10" s="140"/>
      <c r="F10" s="140"/>
      <c r="G10" s="140"/>
      <c r="H10" s="140"/>
      <c r="I10" s="5"/>
      <c r="J10" s="234" t="s">
        <v>5</v>
      </c>
      <c r="K10" s="235"/>
      <c r="L10" s="235"/>
      <c r="M10" s="235"/>
      <c r="N10" s="235"/>
      <c r="O10" s="236"/>
      <c r="P10" s="233"/>
      <c r="Q10" s="233"/>
    </row>
    <row r="11" spans="1:17" ht="16.2" thickBot="1">
      <c r="A11" s="152"/>
      <c r="B11" s="140"/>
      <c r="C11" s="140"/>
      <c r="D11" s="140"/>
      <c r="E11" s="140"/>
      <c r="F11" s="140"/>
      <c r="G11" s="140"/>
      <c r="H11" s="140"/>
      <c r="I11" s="5"/>
      <c r="J11" s="980" t="s">
        <v>188</v>
      </c>
      <c r="K11" s="981"/>
      <c r="L11" s="981"/>
      <c r="M11" s="981"/>
      <c r="N11" s="981"/>
      <c r="O11" s="982"/>
    </row>
    <row r="12" spans="1:17" ht="14.4" customHeight="1">
      <c r="A12" s="838" t="s">
        <v>753</v>
      </c>
      <c r="B12" s="839"/>
      <c r="C12" s="839"/>
      <c r="D12" s="839"/>
      <c r="E12" s="839"/>
      <c r="F12" s="839"/>
      <c r="G12" s="839"/>
      <c r="H12" s="840"/>
      <c r="I12" s="5"/>
      <c r="J12" s="237" t="s">
        <v>189</v>
      </c>
      <c r="K12" s="238"/>
      <c r="L12" s="238"/>
      <c r="M12" s="238"/>
      <c r="N12" s="238"/>
      <c r="O12" s="239"/>
    </row>
    <row r="13" spans="1:17" ht="14.4" customHeight="1" thickBot="1">
      <c r="A13" s="938"/>
      <c r="B13" s="939"/>
      <c r="C13" s="939"/>
      <c r="D13" s="939"/>
      <c r="E13" s="939"/>
      <c r="F13" s="939"/>
      <c r="G13" s="939"/>
      <c r="H13" s="940"/>
      <c r="I13" s="5"/>
      <c r="J13" s="241" t="s">
        <v>190</v>
      </c>
      <c r="K13" s="242"/>
      <c r="L13" s="242"/>
      <c r="M13" s="243">
        <f>LOG(2,1.11)</f>
        <v>6.6418846184179028</v>
      </c>
      <c r="N13" s="242" t="s">
        <v>191</v>
      </c>
      <c r="O13" s="240"/>
    </row>
    <row r="14" spans="1:17" ht="14.4" customHeight="1" thickBot="1">
      <c r="A14" s="938"/>
      <c r="B14" s="939"/>
      <c r="C14" s="939"/>
      <c r="D14" s="939"/>
      <c r="E14" s="939"/>
      <c r="F14" s="939"/>
      <c r="G14" s="939"/>
      <c r="H14" s="940"/>
      <c r="I14" s="5"/>
      <c r="J14" s="5"/>
      <c r="K14" s="5"/>
      <c r="L14" s="5"/>
      <c r="M14" s="5"/>
      <c r="N14" s="5"/>
      <c r="O14" s="13"/>
    </row>
    <row r="15" spans="1:17" ht="14.4" customHeight="1" thickBot="1">
      <c r="A15" s="938"/>
      <c r="B15" s="939"/>
      <c r="C15" s="939"/>
      <c r="D15" s="939"/>
      <c r="E15" s="939"/>
      <c r="F15" s="939"/>
      <c r="G15" s="939"/>
      <c r="H15" s="940"/>
      <c r="I15" s="5"/>
      <c r="J15" s="983" t="s">
        <v>643</v>
      </c>
      <c r="K15" s="886"/>
      <c r="L15" s="886"/>
      <c r="M15" s="886"/>
      <c r="N15" s="886"/>
      <c r="O15" s="887"/>
    </row>
    <row r="16" spans="1:17" ht="15" customHeight="1" thickBot="1">
      <c r="A16" s="131" t="s">
        <v>5</v>
      </c>
      <c r="B16" s="132"/>
      <c r="C16" s="132"/>
      <c r="D16" s="132"/>
      <c r="E16" s="132"/>
      <c r="F16" s="132"/>
      <c r="G16" s="132"/>
      <c r="H16" s="133"/>
      <c r="I16" s="5"/>
      <c r="J16" s="984" t="s">
        <v>603</v>
      </c>
      <c r="K16" s="985"/>
      <c r="L16" s="985"/>
      <c r="M16" s="985"/>
      <c r="N16" s="985"/>
      <c r="O16" s="986"/>
    </row>
    <row r="17" spans="1:15">
      <c r="A17" s="147" t="s">
        <v>150</v>
      </c>
      <c r="B17" s="148"/>
      <c r="C17" s="149">
        <v>43110</v>
      </c>
      <c r="D17" s="150">
        <f>C18-C17</f>
        <v>181</v>
      </c>
      <c r="E17" s="140"/>
      <c r="F17" s="140"/>
      <c r="G17" s="140"/>
      <c r="H17" s="143"/>
      <c r="I17" s="5"/>
      <c r="J17" s="987"/>
      <c r="K17" s="988"/>
      <c r="L17" s="988"/>
      <c r="M17" s="988"/>
      <c r="N17" s="988"/>
      <c r="O17" s="989"/>
    </row>
    <row r="18" spans="1:15" ht="15" thickBot="1">
      <c r="A18" s="147"/>
      <c r="B18" s="148"/>
      <c r="C18" s="149">
        <v>43291</v>
      </c>
      <c r="D18" s="151"/>
      <c r="E18" s="140"/>
      <c r="F18" s="140"/>
      <c r="G18" s="140"/>
      <c r="H18" s="143"/>
      <c r="I18" s="5"/>
      <c r="J18" s="990"/>
      <c r="K18" s="991"/>
      <c r="L18" s="991"/>
      <c r="M18" s="991"/>
      <c r="N18" s="991"/>
      <c r="O18" s="992"/>
    </row>
    <row r="19" spans="1:15" ht="15" thickBot="1">
      <c r="A19" s="152"/>
      <c r="B19" s="140"/>
      <c r="C19" s="153"/>
      <c r="D19" s="154"/>
      <c r="E19" s="140"/>
      <c r="F19" s="140"/>
      <c r="G19" s="140"/>
      <c r="H19" s="143"/>
      <c r="I19" s="5"/>
      <c r="J19" s="230" t="s">
        <v>5</v>
      </c>
      <c r="K19" s="231"/>
      <c r="L19" s="231"/>
      <c r="M19" s="231"/>
      <c r="N19" s="231"/>
      <c r="O19" s="274"/>
    </row>
    <row r="20" spans="1:15" ht="15.6">
      <c r="A20" s="147" t="s">
        <v>151</v>
      </c>
      <c r="B20" s="148"/>
      <c r="C20" s="148"/>
      <c r="D20" s="148">
        <f>1+16/100*D17/365</f>
        <v>1.0793424657534247</v>
      </c>
      <c r="E20" s="140"/>
      <c r="F20" s="140"/>
      <c r="G20" s="140"/>
      <c r="H20" s="143"/>
      <c r="I20" s="5"/>
      <c r="J20" s="993" t="s">
        <v>302</v>
      </c>
      <c r="K20" s="994"/>
      <c r="L20" s="994"/>
      <c r="M20" s="994"/>
      <c r="N20" s="994"/>
      <c r="O20" s="995"/>
    </row>
    <row r="21" spans="1:15" ht="15.6">
      <c r="A21" s="152"/>
      <c r="B21" s="140"/>
      <c r="C21" s="140"/>
      <c r="D21" s="140"/>
      <c r="E21" s="140"/>
      <c r="F21" s="140"/>
      <c r="G21" s="140"/>
      <c r="H21" s="143"/>
      <c r="I21" s="5"/>
      <c r="J21" s="931" t="s">
        <v>303</v>
      </c>
      <c r="K21" s="932"/>
      <c r="L21" s="932"/>
      <c r="M21" s="932"/>
      <c r="N21" s="932"/>
      <c r="O21" s="933"/>
    </row>
    <row r="22" spans="1:15" ht="16.2" thickBot="1">
      <c r="A22" s="155" t="s">
        <v>152</v>
      </c>
      <c r="B22" s="156"/>
      <c r="C22" s="156"/>
      <c r="D22" s="1022">
        <f>D20*10000000</f>
        <v>10793424.657534247</v>
      </c>
      <c r="E22" s="1022"/>
      <c r="F22" s="158"/>
      <c r="G22" s="158"/>
      <c r="H22" s="146"/>
      <c r="I22" s="5"/>
      <c r="J22" s="276" t="s">
        <v>299</v>
      </c>
      <c r="K22" s="275"/>
      <c r="L22" s="275"/>
      <c r="M22" s="5"/>
      <c r="N22" s="275"/>
      <c r="O22" s="277">
        <f>(1+0.05)^(1/12)-1</f>
        <v>4.0741237836483535E-3</v>
      </c>
    </row>
    <row r="23" spans="1:15" ht="15" thickBot="1">
      <c r="A23" s="21"/>
      <c r="B23" s="5"/>
      <c r="C23" s="5"/>
      <c r="D23" s="5"/>
      <c r="E23" s="5"/>
      <c r="F23" s="5"/>
      <c r="G23" s="5"/>
      <c r="H23" s="5"/>
      <c r="I23" s="5"/>
      <c r="J23" s="152" t="s">
        <v>300</v>
      </c>
      <c r="K23" s="140"/>
      <c r="L23" s="140"/>
      <c r="M23" s="140"/>
      <c r="N23" s="140"/>
      <c r="O23" s="278"/>
    </row>
    <row r="24" spans="1:15" ht="19.8" customHeight="1">
      <c r="A24" s="838" t="s">
        <v>754</v>
      </c>
      <c r="B24" s="839"/>
      <c r="C24" s="839"/>
      <c r="D24" s="839"/>
      <c r="E24" s="839"/>
      <c r="F24" s="839"/>
      <c r="G24" s="839"/>
      <c r="H24" s="840"/>
      <c r="I24" s="5"/>
      <c r="J24" s="147" t="s">
        <v>304</v>
      </c>
      <c r="K24" s="148"/>
      <c r="L24" s="148"/>
      <c r="M24" s="148"/>
      <c r="N24" s="148"/>
      <c r="O24" s="13"/>
    </row>
    <row r="25" spans="1:15" ht="15" thickBot="1">
      <c r="A25" s="938"/>
      <c r="B25" s="939"/>
      <c r="C25" s="939"/>
      <c r="D25" s="939"/>
      <c r="E25" s="939"/>
      <c r="F25" s="939"/>
      <c r="G25" s="939"/>
      <c r="H25" s="940"/>
      <c r="I25" s="5"/>
      <c r="J25" s="279" t="s">
        <v>301</v>
      </c>
      <c r="K25" s="280"/>
      <c r="L25" s="281"/>
      <c r="M25" s="281"/>
      <c r="N25" s="281"/>
      <c r="O25" s="250">
        <f>30000/O22</f>
        <v>7363546.5177582745</v>
      </c>
    </row>
    <row r="26" spans="1:15" ht="15.6">
      <c r="A26" s="938"/>
      <c r="B26" s="939"/>
      <c r="C26" s="939"/>
      <c r="D26" s="939"/>
      <c r="E26" s="939"/>
      <c r="F26" s="939"/>
      <c r="G26" s="939"/>
      <c r="H26" s="940"/>
      <c r="I26" s="5"/>
      <c r="J26" s="246"/>
      <c r="K26" s="246"/>
      <c r="L26" s="270"/>
      <c r="M26" s="271"/>
      <c r="N26" s="18"/>
      <c r="O26" s="675"/>
    </row>
    <row r="27" spans="1:15" ht="14.4" customHeight="1" thickBot="1">
      <c r="A27" s="938"/>
      <c r="B27" s="939"/>
      <c r="C27" s="939"/>
      <c r="D27" s="939"/>
      <c r="E27" s="939"/>
      <c r="F27" s="939"/>
      <c r="G27" s="939"/>
      <c r="H27" s="940"/>
      <c r="I27" s="5"/>
      <c r="J27" s="5"/>
      <c r="K27" s="5"/>
      <c r="L27" s="9"/>
      <c r="M27" s="272"/>
      <c r="N27" s="273"/>
      <c r="O27" s="676"/>
    </row>
    <row r="28" spans="1:15" ht="16.2" customHeight="1" thickBot="1">
      <c r="A28" s="131" t="s">
        <v>5</v>
      </c>
      <c r="B28" s="132"/>
      <c r="C28" s="132"/>
      <c r="D28" s="132"/>
      <c r="E28" s="132"/>
      <c r="F28" s="132"/>
      <c r="G28" s="132"/>
      <c r="H28" s="133"/>
      <c r="I28" s="5"/>
      <c r="J28" s="1051" t="s">
        <v>692</v>
      </c>
      <c r="K28" s="1052"/>
      <c r="L28" s="1052"/>
      <c r="M28" s="1052"/>
      <c r="N28" s="1052"/>
      <c r="O28" s="1053"/>
    </row>
    <row r="29" spans="1:15">
      <c r="A29" s="159" t="s">
        <v>291</v>
      </c>
      <c r="B29" s="353"/>
      <c r="C29" s="352"/>
      <c r="D29" s="199"/>
      <c r="E29" s="148" t="s">
        <v>292</v>
      </c>
      <c r="F29" s="160"/>
      <c r="G29" s="160"/>
      <c r="H29" s="161"/>
      <c r="I29" s="5"/>
      <c r="J29" s="1063" t="s">
        <v>679</v>
      </c>
      <c r="K29" s="1064"/>
      <c r="L29" s="1064"/>
      <c r="M29" s="1064"/>
      <c r="N29" s="1064"/>
      <c r="O29" s="1065"/>
    </row>
    <row r="30" spans="1:15">
      <c r="A30" s="147"/>
      <c r="B30" s="148"/>
      <c r="C30" s="140"/>
      <c r="D30" s="140"/>
      <c r="E30" s="140"/>
      <c r="F30" s="140"/>
      <c r="G30" s="140"/>
      <c r="H30" s="143"/>
      <c r="I30" s="5"/>
      <c r="J30" s="1066"/>
      <c r="K30" s="1067"/>
      <c r="L30" s="1067"/>
      <c r="M30" s="1067"/>
      <c r="N30" s="1067"/>
      <c r="O30" s="1068"/>
    </row>
    <row r="31" spans="1:15">
      <c r="A31" s="162" t="s">
        <v>154</v>
      </c>
      <c r="B31" s="163"/>
      <c r="C31" s="164"/>
      <c r="D31" s="165"/>
      <c r="E31" s="163"/>
      <c r="F31" s="140"/>
      <c r="G31" s="140"/>
      <c r="H31" s="166"/>
      <c r="I31" s="5"/>
      <c r="J31" s="1066"/>
      <c r="K31" s="1067"/>
      <c r="L31" s="1067"/>
      <c r="M31" s="1067"/>
      <c r="N31" s="1067"/>
      <c r="O31" s="1068"/>
    </row>
    <row r="32" spans="1:15">
      <c r="A32" s="147"/>
      <c r="B32" s="140"/>
      <c r="C32" s="164">
        <v>43282</v>
      </c>
      <c r="D32" s="165"/>
      <c r="E32" s="140"/>
      <c r="F32" s="140"/>
      <c r="G32" s="140"/>
      <c r="H32" s="166"/>
      <c r="I32" s="5"/>
      <c r="J32" s="1066"/>
      <c r="K32" s="1067"/>
      <c r="L32" s="1067"/>
      <c r="M32" s="1067"/>
      <c r="N32" s="1067"/>
      <c r="O32" s="1068"/>
    </row>
    <row r="33" spans="1:15">
      <c r="A33" s="152"/>
      <c r="B33" s="140"/>
      <c r="C33" s="164">
        <v>43296</v>
      </c>
      <c r="D33" s="291">
        <f>C33-C32</f>
        <v>14</v>
      </c>
      <c r="E33" s="148" t="s">
        <v>235</v>
      </c>
      <c r="F33" s="148"/>
      <c r="G33" s="297">
        <f>D33/30</f>
        <v>0.46666666666666667</v>
      </c>
      <c r="H33" s="143"/>
      <c r="I33" s="5"/>
      <c r="J33" s="1066"/>
      <c r="K33" s="1067"/>
      <c r="L33" s="1067"/>
      <c r="M33" s="1067"/>
      <c r="N33" s="1067"/>
      <c r="O33" s="1068"/>
    </row>
    <row r="34" spans="1:15">
      <c r="A34" s="168" t="s">
        <v>156</v>
      </c>
      <c r="B34" s="169"/>
      <c r="C34" s="322">
        <v>12</v>
      </c>
      <c r="D34" s="171" t="s">
        <v>155</v>
      </c>
      <c r="E34" s="140"/>
      <c r="F34" s="140"/>
      <c r="G34" s="140"/>
      <c r="H34" s="143"/>
      <c r="I34" s="5"/>
      <c r="J34" s="1066"/>
      <c r="K34" s="1067"/>
      <c r="L34" s="1067"/>
      <c r="M34" s="1067"/>
      <c r="N34" s="1067"/>
      <c r="O34" s="1068"/>
    </row>
    <row r="35" spans="1:15">
      <c r="A35" s="152"/>
      <c r="B35" s="140"/>
      <c r="C35" s="153"/>
      <c r="D35" s="154"/>
      <c r="E35" s="140"/>
      <c r="F35" s="140"/>
      <c r="G35" s="140"/>
      <c r="H35" s="143"/>
      <c r="I35" s="5"/>
      <c r="J35" s="1066"/>
      <c r="K35" s="1067"/>
      <c r="L35" s="1067"/>
      <c r="M35" s="1067"/>
      <c r="N35" s="1067"/>
      <c r="O35" s="1068"/>
    </row>
    <row r="36" spans="1:15" ht="15" thickBot="1">
      <c r="A36" s="162" t="s">
        <v>157</v>
      </c>
      <c r="B36" s="172"/>
      <c r="C36" s="164"/>
      <c r="D36" s="321">
        <v>6</v>
      </c>
      <c r="E36" s="172" t="s">
        <v>153</v>
      </c>
      <c r="F36" s="172"/>
      <c r="G36" s="172"/>
      <c r="H36" s="143"/>
      <c r="I36" s="5"/>
      <c r="J36" s="1069"/>
      <c r="K36" s="1070"/>
      <c r="L36" s="1070"/>
      <c r="M36" s="1070"/>
      <c r="N36" s="1070"/>
      <c r="O36" s="1071"/>
    </row>
    <row r="37" spans="1:15" ht="16.2" thickBot="1">
      <c r="A37" s="162"/>
      <c r="B37" s="172"/>
      <c r="C37" s="164"/>
      <c r="D37" s="173"/>
      <c r="E37" s="172"/>
      <c r="F37" s="172"/>
      <c r="G37" s="172"/>
      <c r="H37" s="143"/>
      <c r="I37" s="5"/>
      <c r="J37" s="1072" t="s">
        <v>5</v>
      </c>
      <c r="K37" s="1073"/>
      <c r="L37" s="1073"/>
      <c r="M37" s="1073"/>
      <c r="N37" s="1073"/>
      <c r="O37" s="1074"/>
    </row>
    <row r="38" spans="1:15" ht="15.6">
      <c r="A38" s="147" t="s">
        <v>158</v>
      </c>
      <c r="B38" s="148"/>
      <c r="C38" s="148"/>
      <c r="D38" s="148"/>
      <c r="E38" s="140"/>
      <c r="F38" s="140"/>
      <c r="G38" s="140"/>
      <c r="H38" s="143"/>
      <c r="I38" s="5"/>
      <c r="J38" s="700" t="s">
        <v>680</v>
      </c>
      <c r="K38" s="701"/>
      <c r="L38" s="701"/>
      <c r="M38" s="701"/>
      <c r="N38" s="701"/>
      <c r="O38" s="702"/>
    </row>
    <row r="39" spans="1:15" ht="15.6">
      <c r="A39" s="152"/>
      <c r="B39" s="148" t="s">
        <v>234</v>
      </c>
      <c r="C39" s="140"/>
      <c r="D39" s="140"/>
      <c r="E39" s="140"/>
      <c r="F39" s="297">
        <f>(1+0.16/12)^(6+G33)</f>
        <v>1.0894276497034747</v>
      </c>
      <c r="G39" s="140"/>
      <c r="H39" s="143"/>
      <c r="I39" s="5"/>
      <c r="J39" s="703" t="s">
        <v>681</v>
      </c>
      <c r="K39" s="263"/>
      <c r="L39" s="263"/>
      <c r="M39" s="263"/>
      <c r="N39" s="263"/>
      <c r="O39" s="704"/>
    </row>
    <row r="40" spans="1:15" ht="15.6">
      <c r="A40" s="152"/>
      <c r="B40" s="140"/>
      <c r="C40" s="140"/>
      <c r="D40" s="140"/>
      <c r="E40" s="140"/>
      <c r="F40" s="148"/>
      <c r="G40" s="140"/>
      <c r="H40" s="143"/>
      <c r="I40" s="5"/>
      <c r="J40" s="705" t="s">
        <v>682</v>
      </c>
      <c r="K40" s="263"/>
      <c r="L40" s="263"/>
      <c r="M40" s="263"/>
      <c r="N40" s="706">
        <f>1000000*(1+9.6/100)-1000000</f>
        <v>96000</v>
      </c>
      <c r="O40" s="704" t="s">
        <v>683</v>
      </c>
    </row>
    <row r="41" spans="1:15" ht="16.2" thickBot="1">
      <c r="A41" s="155" t="s">
        <v>159</v>
      </c>
      <c r="B41" s="156"/>
      <c r="C41" s="156"/>
      <c r="D41" s="158"/>
      <c r="E41" s="1022">
        <f>F39*10000000</f>
        <v>10894276.497034747</v>
      </c>
      <c r="F41" s="1022"/>
      <c r="G41" s="158"/>
      <c r="H41" s="146"/>
      <c r="I41" s="5"/>
      <c r="J41" s="262"/>
      <c r="K41" s="263"/>
      <c r="L41" s="263"/>
      <c r="M41" s="263"/>
      <c r="N41" s="263"/>
      <c r="O41" s="704"/>
    </row>
    <row r="42" spans="1:15" ht="16.2" thickBot="1">
      <c r="A42" s="152"/>
      <c r="B42" s="140"/>
      <c r="C42" s="140"/>
      <c r="D42" s="140"/>
      <c r="E42" s="140"/>
      <c r="F42" s="140"/>
      <c r="G42" s="140"/>
      <c r="H42" s="140"/>
      <c r="I42" s="5"/>
      <c r="J42" s="703" t="s">
        <v>684</v>
      </c>
      <c r="K42" s="263"/>
      <c r="L42" s="263"/>
      <c r="M42" s="263"/>
      <c r="N42" s="263"/>
      <c r="O42" s="704"/>
    </row>
    <row r="43" spans="1:15" ht="14.4" customHeight="1" thickBot="1">
      <c r="A43" s="996" t="s">
        <v>644</v>
      </c>
      <c r="B43" s="997"/>
      <c r="C43" s="997"/>
      <c r="D43" s="997"/>
      <c r="E43" s="997"/>
      <c r="F43" s="997"/>
      <c r="G43" s="997"/>
      <c r="H43" s="998"/>
      <c r="I43" s="5"/>
      <c r="J43" s="705" t="s">
        <v>685</v>
      </c>
      <c r="K43" s="263"/>
      <c r="L43" s="263"/>
      <c r="M43" s="263"/>
      <c r="N43" s="706">
        <f>1000000*(1+9.6/2/100)^2-1000000</f>
        <v>98304.000000000233</v>
      </c>
      <c r="O43" s="704" t="s">
        <v>683</v>
      </c>
    </row>
    <row r="44" spans="1:15" ht="14.4" customHeight="1">
      <c r="A44" s="1039" t="s">
        <v>755</v>
      </c>
      <c r="B44" s="1040"/>
      <c r="C44" s="1040"/>
      <c r="D44" s="1040"/>
      <c r="E44" s="1040"/>
      <c r="F44" s="1040"/>
      <c r="G44" s="1040"/>
      <c r="H44" s="1041"/>
      <c r="I44" s="5"/>
      <c r="J44" s="262"/>
      <c r="K44" s="263"/>
      <c r="L44" s="263"/>
      <c r="M44" s="263"/>
      <c r="N44" s="263"/>
      <c r="O44" s="704"/>
    </row>
    <row r="45" spans="1:15" ht="14.4" customHeight="1">
      <c r="A45" s="1039"/>
      <c r="B45" s="1040"/>
      <c r="C45" s="1040"/>
      <c r="D45" s="1040"/>
      <c r="E45" s="1040"/>
      <c r="F45" s="1040"/>
      <c r="G45" s="1040"/>
      <c r="H45" s="1041"/>
      <c r="I45" s="5"/>
      <c r="J45" s="707" t="s">
        <v>196</v>
      </c>
      <c r="K45" s="708"/>
      <c r="L45" s="708"/>
      <c r="M45" s="263"/>
      <c r="N45" s="263"/>
      <c r="O45" s="704"/>
    </row>
    <row r="46" spans="1:15" ht="15" customHeight="1">
      <c r="A46" s="1039"/>
      <c r="B46" s="1040"/>
      <c r="C46" s="1040"/>
      <c r="D46" s="1040"/>
      <c r="E46" s="1040"/>
      <c r="F46" s="1040"/>
      <c r="G46" s="1040"/>
      <c r="H46" s="1041"/>
      <c r="I46" s="5"/>
      <c r="J46" s="707" t="s">
        <v>65</v>
      </c>
      <c r="K46" s="709">
        <f>N40</f>
        <v>96000</v>
      </c>
      <c r="L46" s="708" t="s">
        <v>683</v>
      </c>
      <c r="M46" s="263"/>
      <c r="N46" s="263"/>
      <c r="O46" s="704"/>
    </row>
    <row r="47" spans="1:15" ht="14.4" customHeight="1" thickBot="1">
      <c r="A47" s="1039"/>
      <c r="B47" s="1040"/>
      <c r="C47" s="1040"/>
      <c r="D47" s="1040"/>
      <c r="E47" s="1040"/>
      <c r="F47" s="1040"/>
      <c r="G47" s="1040"/>
      <c r="H47" s="1041"/>
      <c r="I47" s="5"/>
      <c r="J47" s="710" t="s">
        <v>7</v>
      </c>
      <c r="K47" s="711">
        <f>N43</f>
        <v>98304.000000000233</v>
      </c>
      <c r="L47" s="712" t="s">
        <v>683</v>
      </c>
      <c r="M47" s="713"/>
      <c r="N47" s="713"/>
      <c r="O47" s="714"/>
    </row>
    <row r="48" spans="1:15" ht="14.4" customHeight="1">
      <c r="A48" s="1039"/>
      <c r="B48" s="1040"/>
      <c r="C48" s="1040"/>
      <c r="D48" s="1040"/>
      <c r="E48" s="1040"/>
      <c r="F48" s="1040"/>
      <c r="G48" s="1040"/>
      <c r="H48" s="1041"/>
      <c r="I48" s="5"/>
    </row>
    <row r="49" spans="1:21" ht="14.4" customHeight="1" thickBot="1">
      <c r="A49" s="1039"/>
      <c r="B49" s="1040"/>
      <c r="C49" s="1040"/>
      <c r="D49" s="1040"/>
      <c r="E49" s="1040"/>
      <c r="F49" s="1040"/>
      <c r="G49" s="1040"/>
      <c r="H49" s="1041"/>
      <c r="I49" s="5"/>
      <c r="J49" s="263"/>
      <c r="K49" s="263"/>
      <c r="L49" s="263"/>
      <c r="M49" s="263"/>
      <c r="N49" s="263"/>
      <c r="O49" s="263"/>
    </row>
    <row r="50" spans="1:21" ht="14.4" customHeight="1" thickBot="1">
      <c r="A50" s="1039"/>
      <c r="B50" s="1040"/>
      <c r="C50" s="1040"/>
      <c r="D50" s="1040"/>
      <c r="E50" s="1040"/>
      <c r="F50" s="1040"/>
      <c r="G50" s="1040"/>
      <c r="H50" s="1041"/>
      <c r="I50" s="5"/>
      <c r="J50" s="1051" t="s">
        <v>693</v>
      </c>
      <c r="K50" s="1052"/>
      <c r="L50" s="1052"/>
      <c r="M50" s="1052"/>
      <c r="N50" s="1052"/>
      <c r="O50" s="1053"/>
    </row>
    <row r="51" spans="1:21" ht="15" thickBot="1">
      <c r="A51" s="131" t="s">
        <v>5</v>
      </c>
      <c r="B51" s="132"/>
      <c r="C51" s="132"/>
      <c r="D51" s="132"/>
      <c r="E51" s="132"/>
      <c r="F51" s="132"/>
      <c r="G51" s="132"/>
      <c r="H51" s="133"/>
      <c r="I51" s="5"/>
      <c r="J51" s="1063" t="s">
        <v>756</v>
      </c>
      <c r="K51" s="1064"/>
      <c r="L51" s="1064"/>
      <c r="M51" s="1064"/>
      <c r="N51" s="1064"/>
      <c r="O51" s="1065"/>
    </row>
    <row r="52" spans="1:21">
      <c r="A52" s="174" t="s">
        <v>281</v>
      </c>
      <c r="B52" s="175"/>
      <c r="C52" s="175"/>
      <c r="D52" s="175"/>
      <c r="E52" s="175"/>
      <c r="F52" s="175"/>
      <c r="G52" s="175"/>
      <c r="H52" s="161"/>
      <c r="I52" s="5"/>
      <c r="J52" s="1066"/>
      <c r="K52" s="1067"/>
      <c r="L52" s="1067"/>
      <c r="M52" s="1067"/>
      <c r="N52" s="1067"/>
      <c r="O52" s="1068"/>
    </row>
    <row r="53" spans="1:21">
      <c r="A53" s="152" t="s">
        <v>162</v>
      </c>
      <c r="B53" s="140"/>
      <c r="C53" s="140"/>
      <c r="D53" s="140"/>
      <c r="E53" s="140"/>
      <c r="F53" s="140"/>
      <c r="G53" s="140"/>
      <c r="H53" s="143"/>
      <c r="I53" s="5"/>
      <c r="J53" s="1066"/>
      <c r="K53" s="1067"/>
      <c r="L53" s="1067"/>
      <c r="M53" s="1067"/>
      <c r="N53" s="1067"/>
      <c r="O53" s="1068"/>
    </row>
    <row r="54" spans="1:21">
      <c r="A54" s="147" t="s">
        <v>160</v>
      </c>
      <c r="B54" s="176" t="s">
        <v>161</v>
      </c>
      <c r="C54" s="177">
        <f>50000*(1+0.09)</f>
        <v>54500.000000000007</v>
      </c>
      <c r="D54" s="140"/>
      <c r="E54" s="140"/>
      <c r="F54" s="140"/>
      <c r="G54" s="140"/>
      <c r="H54" s="143"/>
      <c r="I54" s="5"/>
      <c r="J54" s="1066"/>
      <c r="K54" s="1067"/>
      <c r="L54" s="1067"/>
      <c r="M54" s="1067"/>
      <c r="N54" s="1067"/>
      <c r="O54" s="1068"/>
    </row>
    <row r="55" spans="1:21" ht="14.4" customHeight="1">
      <c r="A55" s="147" t="s">
        <v>12</v>
      </c>
      <c r="B55" s="176" t="s">
        <v>161</v>
      </c>
      <c r="C55" s="177">
        <f>50000*(1+0.09)</f>
        <v>54500.000000000007</v>
      </c>
      <c r="D55" s="140"/>
      <c r="E55" s="140"/>
      <c r="F55" s="140"/>
      <c r="G55" s="140"/>
      <c r="H55" s="143"/>
      <c r="I55" s="5"/>
      <c r="J55" s="1066"/>
      <c r="K55" s="1067"/>
      <c r="L55" s="1067"/>
      <c r="M55" s="1067"/>
      <c r="N55" s="1067"/>
      <c r="O55" s="1068"/>
      <c r="P55" s="244"/>
      <c r="Q55" s="244"/>
      <c r="R55" s="244"/>
      <c r="S55" s="244"/>
      <c r="T55" s="244"/>
      <c r="U55" s="244"/>
    </row>
    <row r="56" spans="1:21" ht="14.4" customHeight="1">
      <c r="A56" s="152" t="s">
        <v>163</v>
      </c>
      <c r="B56" s="140"/>
      <c r="C56" s="140"/>
      <c r="D56" s="140"/>
      <c r="E56" s="140"/>
      <c r="F56" s="140"/>
      <c r="G56" s="140"/>
      <c r="H56" s="143"/>
      <c r="I56" s="5"/>
      <c r="J56" s="1066"/>
      <c r="K56" s="1067"/>
      <c r="L56" s="1067"/>
      <c r="M56" s="1067"/>
      <c r="N56" s="1067"/>
      <c r="O56" s="1068"/>
      <c r="P56" s="244"/>
      <c r="Q56" s="244"/>
      <c r="R56" s="244"/>
      <c r="S56" s="244"/>
      <c r="T56" s="244"/>
      <c r="U56" s="244"/>
    </row>
    <row r="57" spans="1:21" ht="14.4" customHeight="1">
      <c r="A57" s="147" t="s">
        <v>164</v>
      </c>
      <c r="B57" s="176" t="s">
        <v>161</v>
      </c>
      <c r="C57" s="177">
        <f>50000*(1+0.09/1)^1</f>
        <v>54500.000000000007</v>
      </c>
      <c r="D57" s="148" t="s">
        <v>165</v>
      </c>
      <c r="E57" s="140"/>
      <c r="F57" s="140"/>
      <c r="G57" s="140"/>
      <c r="H57" s="143"/>
      <c r="I57" s="5"/>
      <c r="J57" s="1066"/>
      <c r="K57" s="1067"/>
      <c r="L57" s="1067"/>
      <c r="M57" s="1067"/>
      <c r="N57" s="1067"/>
      <c r="O57" s="1068"/>
      <c r="P57" s="244"/>
      <c r="Q57" s="244"/>
      <c r="R57" s="244"/>
      <c r="S57" s="244"/>
      <c r="T57" s="244"/>
      <c r="U57" s="244"/>
    </row>
    <row r="58" spans="1:21" ht="14.4" customHeight="1">
      <c r="A58" s="147" t="s">
        <v>166</v>
      </c>
      <c r="B58" s="176" t="s">
        <v>161</v>
      </c>
      <c r="C58" s="177">
        <f>50000*(1+0.09/2)^2</f>
        <v>54601.249999999993</v>
      </c>
      <c r="D58" s="148" t="s">
        <v>167</v>
      </c>
      <c r="E58" s="140"/>
      <c r="F58" s="140"/>
      <c r="G58" s="140"/>
      <c r="H58" s="143"/>
      <c r="I58" s="5"/>
      <c r="J58" s="1066"/>
      <c r="K58" s="1067"/>
      <c r="L58" s="1067"/>
      <c r="M58" s="1067"/>
      <c r="N58" s="1067"/>
      <c r="O58" s="1068"/>
      <c r="P58" s="244"/>
      <c r="Q58" s="244"/>
      <c r="R58" s="244"/>
      <c r="S58" s="244"/>
      <c r="T58" s="244"/>
      <c r="U58" s="244"/>
    </row>
    <row r="59" spans="1:21" ht="14.4" customHeight="1">
      <c r="A59" s="147" t="s">
        <v>168</v>
      </c>
      <c r="B59" s="176" t="s">
        <v>161</v>
      </c>
      <c r="C59" s="177">
        <f>50000*(1+0.09/4)^4</f>
        <v>54654.165939453116</v>
      </c>
      <c r="D59" s="148" t="s">
        <v>169</v>
      </c>
      <c r="E59" s="140"/>
      <c r="F59" s="140"/>
      <c r="G59" s="140"/>
      <c r="H59" s="143"/>
      <c r="I59" s="5"/>
      <c r="J59" s="1066"/>
      <c r="K59" s="1067"/>
      <c r="L59" s="1067"/>
      <c r="M59" s="1067"/>
      <c r="N59" s="1067"/>
      <c r="O59" s="1068"/>
      <c r="P59" s="244"/>
      <c r="Q59" s="244"/>
      <c r="R59" s="244"/>
      <c r="S59" s="244"/>
      <c r="T59" s="244"/>
      <c r="U59" s="244"/>
    </row>
    <row r="60" spans="1:21" ht="15" customHeight="1" thickBot="1">
      <c r="A60" s="178" t="s">
        <v>168</v>
      </c>
      <c r="B60" s="179" t="s">
        <v>161</v>
      </c>
      <c r="C60" s="180">
        <f>50000*(1+0.09/12)^12</f>
        <v>54690.344883549216</v>
      </c>
      <c r="D60" s="181" t="s">
        <v>170</v>
      </c>
      <c r="E60" s="182"/>
      <c r="F60" s="182"/>
      <c r="G60" s="182"/>
      <c r="H60" s="183"/>
      <c r="I60" s="5"/>
      <c r="J60" s="1069"/>
      <c r="K60" s="1070"/>
      <c r="L60" s="1070"/>
      <c r="M60" s="1070"/>
      <c r="N60" s="1070"/>
      <c r="O60" s="1071"/>
      <c r="P60" s="244"/>
      <c r="Q60" s="244"/>
      <c r="R60" s="244"/>
      <c r="S60" s="244"/>
      <c r="T60" s="244"/>
      <c r="U60" s="244"/>
    </row>
    <row r="61" spans="1:21" ht="15" customHeight="1" thickBot="1">
      <c r="A61" s="152"/>
      <c r="B61" s="140"/>
      <c r="C61" s="140"/>
      <c r="D61" s="140"/>
      <c r="E61" s="140"/>
      <c r="F61" s="140"/>
      <c r="G61" s="140"/>
      <c r="H61" s="140"/>
      <c r="I61" s="5"/>
      <c r="J61" s="264" t="s">
        <v>5</v>
      </c>
      <c r="K61" s="265"/>
      <c r="L61" s="265"/>
      <c r="M61" s="265"/>
      <c r="N61" s="265"/>
      <c r="O61" s="715"/>
      <c r="P61" s="244"/>
      <c r="Q61" s="244"/>
      <c r="R61" s="244"/>
      <c r="S61" s="244"/>
      <c r="T61" s="244"/>
      <c r="U61" s="244"/>
    </row>
    <row r="62" spans="1:21" ht="15" customHeight="1" thickBot="1">
      <c r="A62" s="1005" t="s">
        <v>645</v>
      </c>
      <c r="B62" s="1006"/>
      <c r="C62" s="1006"/>
      <c r="D62" s="1006"/>
      <c r="E62" s="1006"/>
      <c r="F62" s="1006"/>
      <c r="G62" s="1006"/>
      <c r="H62" s="1007"/>
      <c r="I62" s="5"/>
      <c r="J62" s="700" t="s">
        <v>686</v>
      </c>
      <c r="K62" s="716"/>
      <c r="L62" s="716"/>
      <c r="M62" s="716"/>
      <c r="N62" s="716"/>
      <c r="O62" s="717"/>
      <c r="P62" s="244"/>
      <c r="Q62" s="244"/>
      <c r="R62" s="244"/>
      <c r="S62" s="244"/>
      <c r="T62" s="244"/>
      <c r="U62" s="244"/>
    </row>
    <row r="63" spans="1:21" ht="14.4" customHeight="1">
      <c r="A63" s="838" t="s">
        <v>774</v>
      </c>
      <c r="B63" s="839"/>
      <c r="C63" s="839"/>
      <c r="D63" s="839"/>
      <c r="E63" s="839"/>
      <c r="F63" s="839"/>
      <c r="G63" s="839"/>
      <c r="H63" s="840"/>
      <c r="I63" s="5"/>
      <c r="J63" s="705" t="s">
        <v>687</v>
      </c>
      <c r="K63" s="244"/>
      <c r="L63" s="244" t="s">
        <v>688</v>
      </c>
      <c r="M63" s="5"/>
      <c r="N63" s="244"/>
      <c r="O63" s="677"/>
      <c r="P63" s="244"/>
      <c r="Q63" s="244"/>
      <c r="R63" s="244"/>
      <c r="S63" s="244"/>
      <c r="T63" s="244"/>
      <c r="U63" s="244"/>
    </row>
    <row r="64" spans="1:21" ht="14.4" customHeight="1">
      <c r="A64" s="938"/>
      <c r="B64" s="939"/>
      <c r="C64" s="939"/>
      <c r="D64" s="939"/>
      <c r="E64" s="939"/>
      <c r="F64" s="939"/>
      <c r="G64" s="939"/>
      <c r="H64" s="940"/>
      <c r="I64" s="5"/>
      <c r="J64" s="705" t="s">
        <v>689</v>
      </c>
      <c r="K64" s="244"/>
      <c r="L64" s="244"/>
      <c r="M64" s="244"/>
      <c r="N64" s="244"/>
      <c r="O64" s="677"/>
      <c r="P64" s="244"/>
      <c r="Q64" s="244"/>
      <c r="R64" s="244"/>
      <c r="S64" s="244"/>
      <c r="T64" s="244"/>
      <c r="U64" s="244"/>
    </row>
    <row r="65" spans="1:21" ht="14.4" customHeight="1">
      <c r="A65" s="938"/>
      <c r="B65" s="939"/>
      <c r="C65" s="939"/>
      <c r="D65" s="939"/>
      <c r="E65" s="939"/>
      <c r="F65" s="939"/>
      <c r="G65" s="939"/>
      <c r="H65" s="940"/>
      <c r="I65" s="5"/>
      <c r="J65" s="705" t="s">
        <v>690</v>
      </c>
      <c r="K65" s="244"/>
      <c r="L65" s="244"/>
      <c r="M65" s="244"/>
      <c r="N65" s="709">
        <f>260000*(1+0.12)</f>
        <v>291200</v>
      </c>
      <c r="O65" s="718" t="s">
        <v>683</v>
      </c>
      <c r="P65" s="244"/>
      <c r="Q65" s="244"/>
      <c r="R65" s="244"/>
      <c r="S65" s="244"/>
      <c r="T65" s="244"/>
      <c r="U65" s="244"/>
    </row>
    <row r="66" spans="1:21" ht="14.4" customHeight="1" thickBot="1">
      <c r="A66" s="938"/>
      <c r="B66" s="939"/>
      <c r="C66" s="939"/>
      <c r="D66" s="939"/>
      <c r="E66" s="939"/>
      <c r="F66" s="939"/>
      <c r="G66" s="939"/>
      <c r="H66" s="940"/>
      <c r="I66" s="5"/>
      <c r="J66" s="710" t="s">
        <v>691</v>
      </c>
      <c r="K66" s="719"/>
      <c r="L66" s="719"/>
      <c r="M66" s="719"/>
      <c r="N66" s="719"/>
      <c r="O66" s="720"/>
      <c r="P66" s="244"/>
      <c r="Q66" s="244"/>
      <c r="R66" s="244"/>
      <c r="S66" s="244"/>
      <c r="T66" s="244"/>
      <c r="U66" s="244"/>
    </row>
    <row r="67" spans="1:21" ht="15" customHeight="1">
      <c r="A67" s="938"/>
      <c r="B67" s="939"/>
      <c r="C67" s="939"/>
      <c r="D67" s="939"/>
      <c r="E67" s="939"/>
      <c r="F67" s="939"/>
      <c r="G67" s="939"/>
      <c r="H67" s="940"/>
      <c r="I67" s="5"/>
      <c r="J67" s="130"/>
      <c r="K67" s="130"/>
      <c r="L67" s="130"/>
      <c r="M67" s="130"/>
      <c r="N67" s="244"/>
      <c r="O67" s="677"/>
      <c r="P67" s="244"/>
      <c r="Q67" s="244"/>
      <c r="R67" s="244"/>
      <c r="S67" s="244"/>
      <c r="T67" s="244"/>
      <c r="U67" s="244"/>
    </row>
    <row r="68" spans="1:21" ht="15" customHeight="1" thickBot="1">
      <c r="A68" s="938"/>
      <c r="B68" s="939"/>
      <c r="C68" s="939"/>
      <c r="D68" s="939"/>
      <c r="E68" s="939"/>
      <c r="F68" s="939"/>
      <c r="G68" s="939"/>
      <c r="H68" s="940"/>
      <c r="I68" s="5"/>
      <c r="J68" s="130"/>
      <c r="K68" s="130"/>
      <c r="L68" s="130"/>
      <c r="M68" s="130"/>
      <c r="N68" s="244"/>
      <c r="O68" s="677"/>
      <c r="P68" s="244"/>
      <c r="Q68" s="244"/>
      <c r="R68" s="244"/>
      <c r="S68" s="244"/>
      <c r="T68" s="244"/>
      <c r="U68" s="244"/>
    </row>
    <row r="69" spans="1:21" ht="15" customHeight="1" thickBot="1">
      <c r="A69" s="938"/>
      <c r="B69" s="939"/>
      <c r="C69" s="939"/>
      <c r="D69" s="939"/>
      <c r="E69" s="939"/>
      <c r="F69" s="939"/>
      <c r="G69" s="939"/>
      <c r="H69" s="940"/>
      <c r="I69" s="5"/>
      <c r="J69" s="1051" t="s">
        <v>727</v>
      </c>
      <c r="K69" s="1052"/>
      <c r="L69" s="1052"/>
      <c r="M69" s="1052"/>
      <c r="N69" s="1052"/>
      <c r="O69" s="1053"/>
      <c r="P69" s="244"/>
      <c r="Q69" s="244"/>
      <c r="R69" s="244"/>
      <c r="S69" s="244"/>
      <c r="T69" s="244"/>
      <c r="U69" s="244"/>
    </row>
    <row r="70" spans="1:21" ht="15" customHeight="1" thickBot="1">
      <c r="A70" s="941"/>
      <c r="B70" s="942"/>
      <c r="C70" s="942"/>
      <c r="D70" s="942"/>
      <c r="E70" s="942"/>
      <c r="F70" s="942"/>
      <c r="G70" s="942"/>
      <c r="H70" s="943"/>
      <c r="I70" s="5"/>
      <c r="J70" s="773" t="s">
        <v>728</v>
      </c>
      <c r="K70" s="774"/>
      <c r="L70" s="774"/>
      <c r="M70" s="774"/>
      <c r="N70" s="774"/>
      <c r="O70" s="775">
        <v>4.2099999999999999E-2</v>
      </c>
      <c r="P70" s="244"/>
      <c r="Q70" s="244"/>
      <c r="R70" s="244"/>
      <c r="S70" s="244"/>
      <c r="T70" s="244"/>
      <c r="U70" s="244"/>
    </row>
    <row r="71" spans="1:21" ht="16.2" thickBot="1">
      <c r="A71" s="131" t="s">
        <v>5</v>
      </c>
      <c r="B71" s="132"/>
      <c r="C71" s="132"/>
      <c r="D71" s="132"/>
      <c r="E71" s="132"/>
      <c r="F71" s="132"/>
      <c r="G71" s="132"/>
      <c r="H71" s="133"/>
      <c r="I71" s="5"/>
      <c r="J71" s="776" t="s">
        <v>729</v>
      </c>
      <c r="K71" s="777"/>
      <c r="L71" s="777"/>
      <c r="M71" s="777"/>
      <c r="N71" s="777"/>
      <c r="O71" s="778"/>
      <c r="P71" s="130"/>
      <c r="Q71" s="130"/>
    </row>
    <row r="72" spans="1:21" ht="15.6">
      <c r="A72" s="184" t="s">
        <v>171</v>
      </c>
      <c r="B72" s="185"/>
      <c r="C72" s="188"/>
      <c r="D72" s="189"/>
      <c r="E72" s="185"/>
      <c r="F72" s="190"/>
      <c r="G72" s="191"/>
      <c r="H72" s="192">
        <f>20%-(7.5%+5%)</f>
        <v>7.5000000000000011E-2</v>
      </c>
      <c r="I72" s="5"/>
      <c r="J72" s="776" t="s">
        <v>730</v>
      </c>
      <c r="K72" s="777"/>
      <c r="L72" s="777"/>
      <c r="M72" s="5"/>
      <c r="N72" s="5"/>
      <c r="O72" s="13"/>
      <c r="P72" s="130"/>
      <c r="Q72" s="130"/>
    </row>
    <row r="73" spans="1:21" ht="15.6">
      <c r="A73" s="147"/>
      <c r="B73" s="148"/>
      <c r="C73" s="140"/>
      <c r="D73" s="140"/>
      <c r="E73" s="140"/>
      <c r="F73" s="140"/>
      <c r="G73" s="140"/>
      <c r="H73" s="143"/>
      <c r="I73" s="5"/>
      <c r="J73" s="776" t="s">
        <v>731</v>
      </c>
      <c r="K73" s="779">
        <v>5</v>
      </c>
      <c r="L73" s="779" t="s">
        <v>732</v>
      </c>
      <c r="M73" s="777"/>
      <c r="N73" s="777"/>
      <c r="O73" s="778"/>
    </row>
    <row r="74" spans="1:21" ht="15.6">
      <c r="A74" s="162" t="s">
        <v>172</v>
      </c>
      <c r="B74" s="163"/>
      <c r="C74" s="164"/>
      <c r="D74" s="165"/>
      <c r="E74" s="163"/>
      <c r="F74" s="186"/>
      <c r="G74" s="140"/>
      <c r="H74" s="193">
        <f>H72*35%</f>
        <v>2.6250000000000002E-2</v>
      </c>
      <c r="I74" s="5"/>
      <c r="J74" s="776" t="s">
        <v>733</v>
      </c>
      <c r="K74" s="777"/>
      <c r="L74" s="780">
        <v>0.06</v>
      </c>
      <c r="M74" s="777"/>
      <c r="N74" s="777"/>
      <c r="O74" s="778"/>
    </row>
    <row r="75" spans="1:21" ht="16.2" thickBot="1">
      <c r="A75" s="147"/>
      <c r="B75" s="140"/>
      <c r="C75" s="164"/>
      <c r="D75" s="165"/>
      <c r="E75" s="140"/>
      <c r="F75" s="140"/>
      <c r="G75" s="140"/>
      <c r="H75" s="166"/>
      <c r="I75" s="5"/>
      <c r="J75" s="776" t="s">
        <v>734</v>
      </c>
      <c r="K75" s="777"/>
      <c r="L75" s="777"/>
      <c r="M75" s="777"/>
      <c r="N75" s="777"/>
      <c r="O75" s="778"/>
    </row>
    <row r="76" spans="1:21" ht="16.2" thickBot="1">
      <c r="A76" s="147" t="s">
        <v>173</v>
      </c>
      <c r="B76" s="140"/>
      <c r="C76" s="164"/>
      <c r="D76" s="167"/>
      <c r="E76" s="148"/>
      <c r="F76" s="187"/>
      <c r="G76" s="148"/>
      <c r="H76" s="194">
        <f>20%-H74</f>
        <v>0.17375000000000002</v>
      </c>
      <c r="I76" s="5"/>
      <c r="J76" s="264" t="s">
        <v>5</v>
      </c>
      <c r="K76" s="265"/>
      <c r="L76" s="265"/>
      <c r="M76" s="265"/>
      <c r="N76" s="265"/>
      <c r="O76" s="715"/>
    </row>
    <row r="77" spans="1:21" ht="15.6">
      <c r="A77" s="168"/>
      <c r="B77" s="169"/>
      <c r="C77" s="170"/>
      <c r="D77" s="171"/>
      <c r="E77" s="140"/>
      <c r="F77" s="140"/>
      <c r="G77" s="140"/>
      <c r="H77" s="143"/>
      <c r="I77" s="5"/>
      <c r="J77" s="781" t="s">
        <v>735</v>
      </c>
      <c r="K77" s="774"/>
      <c r="L77" s="774"/>
      <c r="M77" s="774"/>
      <c r="N77" s="774"/>
      <c r="O77" s="782"/>
    </row>
    <row r="78" spans="1:21" ht="16.2" thickBot="1">
      <c r="A78" s="155" t="s">
        <v>283</v>
      </c>
      <c r="B78" s="195"/>
      <c r="C78" s="196"/>
      <c r="D78" s="197"/>
      <c r="E78" s="195"/>
      <c r="F78" s="195"/>
      <c r="G78" s="195"/>
      <c r="H78" s="198">
        <f>H76-6%</f>
        <v>0.11375000000000002</v>
      </c>
      <c r="I78" s="5"/>
      <c r="J78" s="783" t="s">
        <v>736</v>
      </c>
      <c r="K78" s="784"/>
      <c r="L78" s="785">
        <f>1000000*O70</f>
        <v>42100</v>
      </c>
      <c r="M78" s="786" t="s">
        <v>683</v>
      </c>
      <c r="N78" s="777"/>
      <c r="O78" s="778"/>
    </row>
    <row r="79" spans="1:21" ht="16.2" thickBot="1">
      <c r="A79" s="162"/>
      <c r="B79" s="172"/>
      <c r="C79" s="164"/>
      <c r="D79" s="173"/>
      <c r="E79" s="172"/>
      <c r="F79" s="187"/>
      <c r="G79" s="172"/>
      <c r="H79" s="140"/>
      <c r="I79" s="5"/>
      <c r="J79" s="787" t="s">
        <v>737</v>
      </c>
      <c r="K79" s="777"/>
      <c r="L79" s="777"/>
      <c r="M79" s="777"/>
      <c r="N79" s="777"/>
      <c r="O79" s="778"/>
    </row>
    <row r="80" spans="1:21" ht="16.2" thickBot="1">
      <c r="A80" s="996" t="s">
        <v>646</v>
      </c>
      <c r="B80" s="997"/>
      <c r="C80" s="997"/>
      <c r="D80" s="997"/>
      <c r="E80" s="997"/>
      <c r="F80" s="997"/>
      <c r="G80" s="997"/>
      <c r="H80" s="998"/>
      <c r="I80" s="5"/>
      <c r="J80" s="787" t="s">
        <v>738</v>
      </c>
      <c r="K80" s="786"/>
      <c r="L80" s="788">
        <f>5000000*L74</f>
        <v>300000</v>
      </c>
      <c r="M80" s="786" t="s">
        <v>739</v>
      </c>
      <c r="N80" s="777"/>
      <c r="O80" s="778"/>
    </row>
    <row r="81" spans="1:15" ht="14.4" customHeight="1">
      <c r="A81" s="999" t="s">
        <v>290</v>
      </c>
      <c r="B81" s="1000"/>
      <c r="C81" s="1000"/>
      <c r="D81" s="1000"/>
      <c r="E81" s="1000"/>
      <c r="F81" s="1000"/>
      <c r="G81" s="1000"/>
      <c r="H81" s="1001"/>
      <c r="I81" s="5"/>
      <c r="J81" s="789" t="s">
        <v>740</v>
      </c>
      <c r="K81" s="790"/>
      <c r="L81" s="263"/>
      <c r="M81" s="263"/>
      <c r="N81" s="263"/>
      <c r="O81" s="704"/>
    </row>
    <row r="82" spans="1:15" ht="14.4" customHeight="1">
      <c r="A82" s="999"/>
      <c r="B82" s="1000"/>
      <c r="C82" s="1000"/>
      <c r="D82" s="1000"/>
      <c r="E82" s="1000"/>
      <c r="F82" s="1000"/>
      <c r="G82" s="1000"/>
      <c r="H82" s="1001"/>
      <c r="I82" s="5"/>
      <c r="J82" s="789" t="s">
        <v>741</v>
      </c>
      <c r="K82" s="790"/>
      <c r="L82" s="263"/>
      <c r="M82" s="263"/>
      <c r="N82" s="263"/>
      <c r="O82" s="791">
        <f>L80-L78</f>
        <v>257900</v>
      </c>
    </row>
    <row r="83" spans="1:15" ht="14.4" customHeight="1">
      <c r="A83" s="999"/>
      <c r="B83" s="1000"/>
      <c r="C83" s="1000"/>
      <c r="D83" s="1000"/>
      <c r="E83" s="1000"/>
      <c r="F83" s="1000"/>
      <c r="G83" s="1000"/>
      <c r="H83" s="1001"/>
      <c r="I83" s="5"/>
      <c r="J83" s="792" t="s">
        <v>742</v>
      </c>
      <c r="K83" s="246"/>
      <c r="L83" s="708"/>
      <c r="M83" s="708"/>
      <c r="N83" s="708"/>
      <c r="O83" s="793"/>
    </row>
    <row r="84" spans="1:15" ht="14.4" customHeight="1">
      <c r="A84" s="999"/>
      <c r="B84" s="1000"/>
      <c r="C84" s="1000"/>
      <c r="D84" s="1000"/>
      <c r="E84" s="1000"/>
      <c r="F84" s="1000"/>
      <c r="G84" s="1000"/>
      <c r="H84" s="1001"/>
      <c r="I84" s="5"/>
      <c r="J84" s="792" t="s">
        <v>743</v>
      </c>
      <c r="K84" s="246"/>
      <c r="L84" s="708"/>
      <c r="M84" s="708"/>
      <c r="N84" s="708"/>
      <c r="O84" s="793">
        <f>O82*0.13</f>
        <v>33527</v>
      </c>
    </row>
    <row r="85" spans="1:15" ht="14.4" customHeight="1">
      <c r="A85" s="999"/>
      <c r="B85" s="1000"/>
      <c r="C85" s="1000"/>
      <c r="D85" s="1000"/>
      <c r="E85" s="1000"/>
      <c r="F85" s="1000"/>
      <c r="G85" s="1000"/>
      <c r="H85" s="1001"/>
      <c r="I85" s="5"/>
      <c r="J85" s="237"/>
      <c r="K85" s="238"/>
      <c r="L85" s="244"/>
      <c r="M85" s="244"/>
      <c r="N85" s="244"/>
      <c r="O85" s="677"/>
    </row>
    <row r="86" spans="1:15" ht="14.4" customHeight="1" thickBot="1">
      <c r="A86" s="999"/>
      <c r="B86" s="1000"/>
      <c r="C86" s="1000"/>
      <c r="D86" s="1000"/>
      <c r="E86" s="1000"/>
      <c r="F86" s="1000"/>
      <c r="G86" s="1000"/>
      <c r="H86" s="1001"/>
      <c r="I86" s="5"/>
      <c r="J86" s="794" t="s">
        <v>744</v>
      </c>
      <c r="K86" s="795"/>
      <c r="L86" s="796"/>
      <c r="M86" s="796"/>
      <c r="N86" s="796"/>
      <c r="O86" s="797">
        <f>L80-O84</f>
        <v>266473</v>
      </c>
    </row>
    <row r="87" spans="1:15" ht="14.4" customHeight="1">
      <c r="A87" s="999"/>
      <c r="B87" s="1000"/>
      <c r="C87" s="1000"/>
      <c r="D87" s="1000"/>
      <c r="E87" s="1000"/>
      <c r="F87" s="1000"/>
      <c r="G87" s="1000"/>
      <c r="H87" s="1001"/>
      <c r="I87" s="5"/>
      <c r="J87" s="1054" t="s">
        <v>745</v>
      </c>
      <c r="K87" s="1055"/>
      <c r="L87" s="1055"/>
      <c r="M87" s="1055"/>
      <c r="N87" s="1055"/>
      <c r="O87" s="1056"/>
    </row>
    <row r="88" spans="1:15" ht="14.4" customHeight="1">
      <c r="A88" s="999"/>
      <c r="B88" s="1000"/>
      <c r="C88" s="1000"/>
      <c r="D88" s="1000"/>
      <c r="E88" s="1000"/>
      <c r="F88" s="1000"/>
      <c r="G88" s="1000"/>
      <c r="H88" s="1001"/>
      <c r="I88" s="5"/>
      <c r="J88" s="1057"/>
      <c r="K88" s="1058"/>
      <c r="L88" s="1058"/>
      <c r="M88" s="1058"/>
      <c r="N88" s="1058"/>
      <c r="O88" s="1059"/>
    </row>
    <row r="89" spans="1:15" ht="14.4" customHeight="1">
      <c r="A89" s="999"/>
      <c r="B89" s="1000"/>
      <c r="C89" s="1000"/>
      <c r="D89" s="1000"/>
      <c r="E89" s="1000"/>
      <c r="F89" s="1000"/>
      <c r="G89" s="1000"/>
      <c r="H89" s="1001"/>
      <c r="I89" s="5"/>
      <c r="J89" s="1057"/>
      <c r="K89" s="1058"/>
      <c r="L89" s="1058"/>
      <c r="M89" s="1058"/>
      <c r="N89" s="1058"/>
      <c r="O89" s="1059"/>
    </row>
    <row r="90" spans="1:15" ht="14.4" customHeight="1">
      <c r="A90" s="999"/>
      <c r="B90" s="1000"/>
      <c r="C90" s="1000"/>
      <c r="D90" s="1000"/>
      <c r="E90" s="1000"/>
      <c r="F90" s="1000"/>
      <c r="G90" s="1000"/>
      <c r="H90" s="1001"/>
      <c r="I90" s="5"/>
      <c r="J90" s="1057"/>
      <c r="K90" s="1058"/>
      <c r="L90" s="1058"/>
      <c r="M90" s="1058"/>
      <c r="N90" s="1058"/>
      <c r="O90" s="1059"/>
    </row>
    <row r="91" spans="1:15" ht="14.4" customHeight="1">
      <c r="A91" s="999"/>
      <c r="B91" s="1000"/>
      <c r="C91" s="1000"/>
      <c r="D91" s="1000"/>
      <c r="E91" s="1000"/>
      <c r="F91" s="1000"/>
      <c r="G91" s="1000"/>
      <c r="H91" s="1001"/>
      <c r="I91" s="5"/>
      <c r="J91" s="1057"/>
      <c r="K91" s="1058"/>
      <c r="L91" s="1058"/>
      <c r="M91" s="1058"/>
      <c r="N91" s="1058"/>
      <c r="O91" s="1059"/>
    </row>
    <row r="92" spans="1:15" ht="14.4" customHeight="1">
      <c r="A92" s="999"/>
      <c r="B92" s="1000"/>
      <c r="C92" s="1000"/>
      <c r="D92" s="1000"/>
      <c r="E92" s="1000"/>
      <c r="F92" s="1000"/>
      <c r="G92" s="1000"/>
      <c r="H92" s="1001"/>
      <c r="I92" s="5"/>
      <c r="J92" s="1057"/>
      <c r="K92" s="1058"/>
      <c r="L92" s="1058"/>
      <c r="M92" s="1058"/>
      <c r="N92" s="1058"/>
      <c r="O92" s="1059"/>
    </row>
    <row r="93" spans="1:15" ht="15" customHeight="1">
      <c r="A93" s="999"/>
      <c r="B93" s="1000"/>
      <c r="C93" s="1000"/>
      <c r="D93" s="1000"/>
      <c r="E93" s="1000"/>
      <c r="F93" s="1000"/>
      <c r="G93" s="1000"/>
      <c r="H93" s="1001"/>
      <c r="I93" s="5"/>
      <c r="J93" s="1057"/>
      <c r="K93" s="1058"/>
      <c r="L93" s="1058"/>
      <c r="M93" s="1058"/>
      <c r="N93" s="1058"/>
      <c r="O93" s="1059"/>
    </row>
    <row r="94" spans="1:15" ht="15" thickBot="1">
      <c r="A94" s="999"/>
      <c r="B94" s="1000"/>
      <c r="C94" s="1000"/>
      <c r="D94" s="1000"/>
      <c r="E94" s="1000"/>
      <c r="F94" s="1000"/>
      <c r="G94" s="1000"/>
      <c r="H94" s="1001"/>
      <c r="I94" s="5"/>
      <c r="J94" s="1060"/>
      <c r="K94" s="1061"/>
      <c r="L94" s="1061"/>
      <c r="M94" s="1061"/>
      <c r="N94" s="1061"/>
      <c r="O94" s="1062"/>
    </row>
    <row r="95" spans="1:15" ht="15" thickBot="1">
      <c r="A95" s="1002"/>
      <c r="B95" s="1003"/>
      <c r="C95" s="1003"/>
      <c r="D95" s="1003"/>
      <c r="E95" s="1003"/>
      <c r="F95" s="1003"/>
      <c r="G95" s="1003"/>
      <c r="H95" s="1004"/>
      <c r="I95" s="5"/>
      <c r="J95" s="5"/>
      <c r="K95" s="5"/>
      <c r="L95" s="678"/>
      <c r="M95" s="678"/>
      <c r="N95" s="678"/>
      <c r="O95" s="679"/>
    </row>
    <row r="96" spans="1:15" ht="15" thickBot="1">
      <c r="A96" s="131" t="s">
        <v>5</v>
      </c>
      <c r="B96" s="132"/>
      <c r="C96" s="132"/>
      <c r="D96" s="132"/>
      <c r="E96" s="132"/>
      <c r="F96" s="132"/>
      <c r="G96" s="132"/>
      <c r="H96" s="133"/>
      <c r="I96" s="5"/>
      <c r="J96" s="5"/>
      <c r="K96" s="5"/>
      <c r="L96" s="678"/>
      <c r="M96" s="678"/>
      <c r="N96" s="678"/>
      <c r="O96" s="679"/>
    </row>
    <row r="97" spans="1:15">
      <c r="A97" s="174" t="s">
        <v>174</v>
      </c>
      <c r="B97" s="175"/>
      <c r="C97" s="175"/>
      <c r="D97" s="175"/>
      <c r="E97" s="175"/>
      <c r="F97" s="175"/>
      <c r="G97" s="314">
        <f>70000*(1+0.065)^1</f>
        <v>74550</v>
      </c>
      <c r="H97" s="161"/>
      <c r="I97" s="5"/>
      <c r="J97" s="5"/>
      <c r="K97" s="5"/>
      <c r="L97" s="678"/>
      <c r="M97" s="678"/>
      <c r="N97" s="678"/>
      <c r="O97" s="679"/>
    </row>
    <row r="98" spans="1:15">
      <c r="A98" s="152" t="s">
        <v>175</v>
      </c>
      <c r="B98" s="140"/>
      <c r="C98" s="140"/>
      <c r="D98" s="140"/>
      <c r="E98" s="140"/>
      <c r="F98" s="140"/>
      <c r="G98" s="140"/>
      <c r="H98" s="143"/>
      <c r="I98" s="5"/>
      <c r="J98" s="5"/>
      <c r="K98" s="5"/>
      <c r="L98" s="678"/>
      <c r="M98" s="678"/>
      <c r="N98" s="678"/>
      <c r="O98" s="679"/>
    </row>
    <row r="99" spans="1:15">
      <c r="A99" s="168" t="s">
        <v>585</v>
      </c>
      <c r="B99" s="169"/>
      <c r="C99" s="169"/>
      <c r="D99" s="169"/>
      <c r="E99" s="169"/>
      <c r="F99" s="169"/>
      <c r="G99" s="315">
        <f>69*1.01</f>
        <v>69.69</v>
      </c>
      <c r="H99" s="143"/>
      <c r="I99" s="5"/>
      <c r="J99" s="5"/>
      <c r="K99" s="5"/>
      <c r="L99" s="678"/>
      <c r="M99" s="678"/>
      <c r="N99" s="678"/>
      <c r="O99" s="679"/>
    </row>
    <row r="100" spans="1:15">
      <c r="A100" s="152" t="s">
        <v>176</v>
      </c>
      <c r="B100" s="140"/>
      <c r="C100" s="140"/>
      <c r="D100" s="140"/>
      <c r="E100" s="140"/>
      <c r="F100" s="140"/>
      <c r="G100" s="316">
        <f>G97/2/G99</f>
        <v>534.8687042617305</v>
      </c>
      <c r="H100" s="143"/>
      <c r="I100" s="5"/>
      <c r="J100" s="5"/>
      <c r="K100" s="5"/>
      <c r="L100" s="678"/>
      <c r="M100" s="678"/>
      <c r="N100" s="678"/>
      <c r="O100" s="679"/>
    </row>
    <row r="101" spans="1:15">
      <c r="A101" s="152" t="s">
        <v>177</v>
      </c>
      <c r="B101" s="140"/>
      <c r="C101" s="140"/>
      <c r="D101" s="140"/>
      <c r="E101" s="140"/>
      <c r="F101" s="140"/>
      <c r="G101" s="317">
        <f>G97/2/77</f>
        <v>484.09090909090907</v>
      </c>
      <c r="H101" s="143"/>
      <c r="I101" s="5"/>
      <c r="J101" s="5"/>
      <c r="K101" s="5"/>
      <c r="L101" s="678"/>
      <c r="M101" s="678"/>
      <c r="N101" s="678"/>
      <c r="O101" s="679"/>
    </row>
    <row r="102" spans="1:15">
      <c r="A102" s="152" t="s">
        <v>178</v>
      </c>
      <c r="B102" s="140"/>
      <c r="C102" s="140"/>
      <c r="D102" s="140"/>
      <c r="E102" s="140"/>
      <c r="F102" s="140"/>
      <c r="G102" s="140"/>
      <c r="H102" s="143"/>
      <c r="I102" s="5"/>
      <c r="J102" s="5"/>
      <c r="K102" s="5"/>
      <c r="L102" s="5"/>
      <c r="M102" s="5"/>
      <c r="N102" s="5"/>
      <c r="O102" s="13"/>
    </row>
    <row r="103" spans="1:15">
      <c r="A103" s="152"/>
      <c r="B103" s="140"/>
      <c r="C103" s="140"/>
      <c r="D103" s="140"/>
      <c r="E103" s="140"/>
      <c r="F103" s="140" t="s">
        <v>11</v>
      </c>
      <c r="G103" s="316">
        <f>G100*(1+0.025)^1</f>
        <v>548.24042186827376</v>
      </c>
      <c r="H103" s="143"/>
      <c r="I103" s="5"/>
      <c r="J103" s="5"/>
      <c r="K103" s="5"/>
      <c r="L103" s="5"/>
      <c r="M103" s="5"/>
      <c r="N103" s="5"/>
      <c r="O103" s="13"/>
    </row>
    <row r="104" spans="1:15">
      <c r="A104" s="152"/>
      <c r="B104" s="140"/>
      <c r="C104" s="140"/>
      <c r="D104" s="140"/>
      <c r="E104" s="140"/>
      <c r="F104" s="140" t="s">
        <v>10</v>
      </c>
      <c r="G104" s="317">
        <f>G101*(1+0.02)^1</f>
        <v>493.77272727272725</v>
      </c>
      <c r="H104" s="143"/>
      <c r="I104" s="5"/>
      <c r="J104" s="5"/>
      <c r="K104" s="5"/>
      <c r="L104" s="5"/>
      <c r="M104" s="5"/>
      <c r="N104" s="5"/>
      <c r="O104" s="13"/>
    </row>
    <row r="105" spans="1:15">
      <c r="A105" s="147" t="s">
        <v>179</v>
      </c>
      <c r="B105" s="140"/>
      <c r="C105" s="140"/>
      <c r="D105" s="140"/>
      <c r="E105" s="140"/>
      <c r="F105" s="140"/>
      <c r="G105" s="140"/>
      <c r="H105" s="143"/>
      <c r="I105" s="5"/>
      <c r="J105" s="5"/>
      <c r="K105" s="5"/>
      <c r="L105" s="5"/>
      <c r="M105" s="5"/>
      <c r="N105" s="5"/>
      <c r="O105" s="13"/>
    </row>
    <row r="106" spans="1:15">
      <c r="A106" s="152"/>
      <c r="B106" s="140"/>
      <c r="C106" s="140"/>
      <c r="D106" s="140"/>
      <c r="E106" s="140"/>
      <c r="F106" s="140" t="s">
        <v>11</v>
      </c>
      <c r="G106" s="258">
        <f>G103*65</f>
        <v>35635.627421437792</v>
      </c>
      <c r="H106" s="143"/>
      <c r="I106" s="5"/>
      <c r="J106" s="5"/>
      <c r="K106" s="5"/>
      <c r="L106" s="5"/>
      <c r="M106" s="5"/>
      <c r="N106" s="5"/>
      <c r="O106" s="13"/>
    </row>
    <row r="107" spans="1:15">
      <c r="A107" s="152"/>
      <c r="B107" s="140"/>
      <c r="C107" s="140"/>
      <c r="D107" s="140"/>
      <c r="E107" s="140"/>
      <c r="F107" s="140" t="s">
        <v>10</v>
      </c>
      <c r="G107" s="258">
        <f>G104*74</f>
        <v>36539.181818181816</v>
      </c>
      <c r="H107" s="143"/>
      <c r="I107" s="5"/>
      <c r="J107" s="5"/>
      <c r="K107" s="5"/>
      <c r="L107" s="5"/>
      <c r="M107" s="5"/>
      <c r="N107" s="5"/>
      <c r="O107" s="13"/>
    </row>
    <row r="108" spans="1:15">
      <c r="A108" s="152"/>
      <c r="B108" s="140"/>
      <c r="C108" s="140"/>
      <c r="D108" s="140"/>
      <c r="E108" s="140"/>
      <c r="F108" s="148" t="s">
        <v>181</v>
      </c>
      <c r="G108" s="177">
        <f>G107+G106</f>
        <v>72174.809239619615</v>
      </c>
      <c r="H108" s="143"/>
      <c r="I108" s="5"/>
      <c r="J108" s="5"/>
      <c r="K108" s="5"/>
      <c r="L108" s="5"/>
      <c r="M108" s="5"/>
      <c r="N108" s="5"/>
      <c r="O108" s="13"/>
    </row>
    <row r="109" spans="1:15">
      <c r="A109" s="303" t="s">
        <v>192</v>
      </c>
      <c r="B109" s="318"/>
      <c r="C109" s="318"/>
      <c r="D109" s="318"/>
      <c r="E109" s="318"/>
      <c r="F109" s="318"/>
      <c r="G109" s="318"/>
      <c r="H109" s="143"/>
      <c r="I109" s="5"/>
      <c r="J109" s="5"/>
      <c r="K109" s="5"/>
      <c r="L109" s="5"/>
      <c r="M109" s="5"/>
      <c r="N109" s="5"/>
      <c r="O109" s="13"/>
    </row>
    <row r="110" spans="1:15" ht="15" thickBot="1">
      <c r="A110" s="319"/>
      <c r="B110" s="320"/>
      <c r="C110" s="320"/>
      <c r="D110" s="181" t="s">
        <v>180</v>
      </c>
      <c r="E110" s="181"/>
      <c r="F110" s="181" t="s">
        <v>181</v>
      </c>
      <c r="G110" s="180">
        <f>G97*(1+0.075)^1</f>
        <v>80141.25</v>
      </c>
      <c r="H110" s="146"/>
      <c r="I110" s="5"/>
      <c r="J110" s="5"/>
      <c r="K110" s="5"/>
      <c r="L110" s="5"/>
      <c r="M110" s="5"/>
      <c r="N110" s="5"/>
      <c r="O110" s="13"/>
    </row>
    <row r="111" spans="1:15" ht="15" thickBot="1">
      <c r="A111" s="21"/>
      <c r="B111" s="5"/>
      <c r="C111" s="5"/>
      <c r="D111" s="5"/>
      <c r="E111" s="5"/>
      <c r="F111" s="5"/>
      <c r="G111" s="5"/>
      <c r="H111" s="5"/>
      <c r="I111" s="5"/>
      <c r="J111" s="5"/>
      <c r="K111" s="5"/>
      <c r="L111" s="5"/>
      <c r="M111" s="5"/>
      <c r="N111" s="5"/>
      <c r="O111" s="13"/>
    </row>
    <row r="112" spans="1:15" ht="15" thickBot="1">
      <c r="A112" s="1042" t="s">
        <v>647</v>
      </c>
      <c r="B112" s="1043"/>
      <c r="C112" s="1043"/>
      <c r="D112" s="1043"/>
      <c r="E112" s="1043"/>
      <c r="F112" s="1043"/>
      <c r="G112" s="1043"/>
      <c r="H112" s="1044"/>
      <c r="I112" s="5"/>
      <c r="J112" s="5"/>
      <c r="K112" s="5"/>
      <c r="L112" s="5"/>
      <c r="M112" s="5"/>
      <c r="N112" s="5"/>
      <c r="O112" s="13"/>
    </row>
    <row r="113" spans="1:15" ht="14.4" customHeight="1">
      <c r="A113" s="1013" t="s">
        <v>193</v>
      </c>
      <c r="B113" s="1014"/>
      <c r="C113" s="1014"/>
      <c r="D113" s="1014"/>
      <c r="E113" s="1014"/>
      <c r="F113" s="1014"/>
      <c r="G113" s="1014"/>
      <c r="H113" s="1015"/>
      <c r="I113" s="5"/>
      <c r="J113" s="5"/>
      <c r="K113" s="5"/>
      <c r="L113" s="5"/>
      <c r="M113" s="5"/>
      <c r="N113" s="5"/>
      <c r="O113" s="13"/>
    </row>
    <row r="114" spans="1:15" ht="15" customHeight="1">
      <c r="A114" s="1016"/>
      <c r="B114" s="1017"/>
      <c r="C114" s="1017"/>
      <c r="D114" s="1017"/>
      <c r="E114" s="1017"/>
      <c r="F114" s="1017"/>
      <c r="G114" s="1017"/>
      <c r="H114" s="1018"/>
      <c r="I114" s="5"/>
      <c r="J114" s="5"/>
      <c r="K114" s="5"/>
      <c r="L114" s="5"/>
      <c r="M114" s="5"/>
      <c r="N114" s="5"/>
      <c r="O114" s="13"/>
    </row>
    <row r="115" spans="1:15">
      <c r="A115" s="1016"/>
      <c r="B115" s="1017"/>
      <c r="C115" s="1017"/>
      <c r="D115" s="1017"/>
      <c r="E115" s="1017"/>
      <c r="F115" s="1017"/>
      <c r="G115" s="1017"/>
      <c r="H115" s="1018"/>
      <c r="I115" s="5"/>
      <c r="J115" s="5"/>
      <c r="K115" s="5"/>
      <c r="L115" s="5"/>
      <c r="M115" s="5"/>
      <c r="N115" s="5"/>
      <c r="O115" s="13"/>
    </row>
    <row r="116" spans="1:15">
      <c r="A116" s="1016"/>
      <c r="B116" s="1017"/>
      <c r="C116" s="1017"/>
      <c r="D116" s="1017"/>
      <c r="E116" s="1017"/>
      <c r="F116" s="1017"/>
      <c r="G116" s="1017"/>
      <c r="H116" s="1018"/>
      <c r="I116" s="5"/>
      <c r="J116" s="5"/>
      <c r="K116" s="5"/>
      <c r="L116" s="5"/>
      <c r="M116" s="5"/>
      <c r="N116" s="5"/>
      <c r="O116" s="13"/>
    </row>
    <row r="117" spans="1:15">
      <c r="A117" s="1016"/>
      <c r="B117" s="1017"/>
      <c r="C117" s="1017"/>
      <c r="D117" s="1017"/>
      <c r="E117" s="1017"/>
      <c r="F117" s="1017"/>
      <c r="G117" s="1017"/>
      <c r="H117" s="1018"/>
      <c r="I117" s="5"/>
      <c r="J117" s="5"/>
      <c r="K117" s="5"/>
      <c r="L117" s="5"/>
      <c r="M117" s="5"/>
      <c r="N117" s="5"/>
      <c r="O117" s="13"/>
    </row>
    <row r="118" spans="1:15" ht="15" thickBot="1">
      <c r="A118" s="1019"/>
      <c r="B118" s="1020"/>
      <c r="C118" s="1020"/>
      <c r="D118" s="1020"/>
      <c r="E118" s="1020"/>
      <c r="F118" s="1020"/>
      <c r="G118" s="1020"/>
      <c r="H118" s="1021"/>
      <c r="I118" s="5"/>
      <c r="J118" s="5"/>
      <c r="K118" s="5"/>
      <c r="L118" s="5"/>
      <c r="M118" s="5"/>
      <c r="N118" s="5"/>
      <c r="O118" s="13"/>
    </row>
    <row r="119" spans="1:15" ht="15" thickBot="1">
      <c r="A119" s="234" t="s">
        <v>5</v>
      </c>
      <c r="B119" s="235"/>
      <c r="C119" s="235"/>
      <c r="D119" s="235"/>
      <c r="E119" s="235"/>
      <c r="F119" s="235"/>
      <c r="G119" s="64"/>
      <c r="H119" s="65"/>
      <c r="I119" s="5"/>
      <c r="J119" s="5"/>
      <c r="K119" s="5"/>
      <c r="L119" s="5"/>
      <c r="M119" s="5"/>
      <c r="N119" s="5"/>
      <c r="O119" s="13"/>
    </row>
    <row r="120" spans="1:15">
      <c r="A120" s="230" t="s">
        <v>284</v>
      </c>
      <c r="B120" s="231"/>
      <c r="C120" s="231"/>
      <c r="D120" s="231"/>
      <c r="E120" s="231"/>
      <c r="F120" s="231"/>
      <c r="G120" s="175"/>
      <c r="H120" s="161"/>
      <c r="I120" s="5"/>
      <c r="J120" s="5"/>
      <c r="K120" s="5"/>
      <c r="L120" s="5"/>
      <c r="M120" s="5"/>
      <c r="N120" s="5"/>
      <c r="O120" s="13"/>
    </row>
    <row r="121" spans="1:15">
      <c r="A121" s="232" t="s">
        <v>194</v>
      </c>
      <c r="B121" s="233"/>
      <c r="C121" s="233"/>
      <c r="D121" s="233"/>
      <c r="E121" s="233"/>
      <c r="F121" s="233"/>
      <c r="G121" s="140"/>
      <c r="H121" s="143"/>
      <c r="I121" s="5"/>
      <c r="J121" s="5"/>
      <c r="K121" s="5"/>
      <c r="L121" s="5"/>
      <c r="M121" s="5"/>
      <c r="N121" s="5"/>
      <c r="O121" s="13"/>
    </row>
    <row r="122" spans="1:15" ht="15.6">
      <c r="A122" s="245" t="s">
        <v>285</v>
      </c>
      <c r="B122" s="269"/>
      <c r="C122" s="269"/>
      <c r="D122" s="269"/>
      <c r="E122" s="269"/>
      <c r="F122" s="269"/>
      <c r="G122" s="140"/>
      <c r="H122" s="143"/>
      <c r="I122" s="5"/>
      <c r="J122" s="5"/>
      <c r="K122" s="5"/>
      <c r="L122" s="5"/>
      <c r="M122" s="5"/>
      <c r="N122" s="5"/>
      <c r="O122" s="13"/>
    </row>
    <row r="123" spans="1:15" ht="15.6">
      <c r="A123" s="245" t="s">
        <v>286</v>
      </c>
      <c r="B123" s="238"/>
      <c r="C123" s="238"/>
      <c r="D123" s="238"/>
      <c r="E123" s="238"/>
      <c r="F123" s="238"/>
      <c r="G123" s="140"/>
      <c r="H123" s="143"/>
      <c r="I123" s="5"/>
      <c r="J123" s="5"/>
      <c r="K123" s="5"/>
      <c r="L123" s="5"/>
      <c r="M123" s="5"/>
      <c r="N123" s="5"/>
      <c r="O123" s="13"/>
    </row>
    <row r="124" spans="1:15" ht="15.6">
      <c r="A124" s="245" t="s">
        <v>287</v>
      </c>
      <c r="B124" s="246"/>
      <c r="C124" s="246"/>
      <c r="D124" s="247"/>
      <c r="E124" s="246"/>
      <c r="F124" s="238"/>
      <c r="G124" s="140"/>
      <c r="H124" s="143"/>
      <c r="I124" s="5"/>
      <c r="J124" s="5"/>
      <c r="K124" s="5"/>
      <c r="L124" s="5"/>
      <c r="M124" s="5"/>
      <c r="N124" s="5"/>
      <c r="O124" s="13"/>
    </row>
    <row r="125" spans="1:15" ht="16.2" thickBot="1">
      <c r="A125" s="248" t="s">
        <v>288</v>
      </c>
      <c r="B125" s="156"/>
      <c r="C125" s="156"/>
      <c r="D125" s="156"/>
      <c r="E125" s="156"/>
      <c r="F125" s="158"/>
      <c r="G125" s="249" t="s">
        <v>195</v>
      </c>
      <c r="H125" s="250">
        <f>50000/(1+0.11)^2</f>
        <v>40581.121662202735</v>
      </c>
      <c r="I125" s="5"/>
      <c r="J125" s="5"/>
      <c r="K125" s="5"/>
      <c r="L125" s="5"/>
      <c r="M125" s="5"/>
      <c r="N125" s="5"/>
      <c r="O125" s="13"/>
    </row>
    <row r="126" spans="1:15" ht="15" thickBot="1">
      <c r="A126" s="21"/>
      <c r="B126" s="5"/>
      <c r="C126" s="5"/>
      <c r="D126" s="5"/>
      <c r="E126" s="5"/>
      <c r="F126" s="5"/>
      <c r="G126" s="5"/>
      <c r="H126" s="5"/>
      <c r="I126" s="5"/>
      <c r="J126" s="5"/>
      <c r="K126" s="5"/>
      <c r="L126" s="5"/>
      <c r="M126" s="5"/>
      <c r="N126" s="5"/>
      <c r="O126" s="13"/>
    </row>
    <row r="127" spans="1:15" ht="15" thickBot="1">
      <c r="A127" s="983" t="s">
        <v>648</v>
      </c>
      <c r="B127" s="886"/>
      <c r="C127" s="886"/>
      <c r="D127" s="886"/>
      <c r="E127" s="886"/>
      <c r="F127" s="886"/>
      <c r="G127" s="886"/>
      <c r="H127" s="887"/>
      <c r="I127" s="5"/>
      <c r="J127" s="5"/>
      <c r="K127" s="5"/>
      <c r="L127" s="5"/>
      <c r="M127" s="5"/>
      <c r="N127" s="5"/>
      <c r="O127" s="13"/>
    </row>
    <row r="128" spans="1:15" ht="14.4" customHeight="1">
      <c r="A128" s="1013" t="s">
        <v>775</v>
      </c>
      <c r="B128" s="1014"/>
      <c r="C128" s="1014"/>
      <c r="D128" s="1014"/>
      <c r="E128" s="1014"/>
      <c r="F128" s="1014"/>
      <c r="G128" s="1014"/>
      <c r="H128" s="1015"/>
      <c r="I128" s="5"/>
      <c r="J128" s="5"/>
      <c r="K128" s="5"/>
      <c r="L128" s="5"/>
      <c r="M128" s="5"/>
      <c r="N128" s="5"/>
      <c r="O128" s="13"/>
    </row>
    <row r="129" spans="1:15" ht="14.4" customHeight="1">
      <c r="A129" s="1016"/>
      <c r="B129" s="1017"/>
      <c r="C129" s="1017"/>
      <c r="D129" s="1017"/>
      <c r="E129" s="1017"/>
      <c r="F129" s="1017"/>
      <c r="G129" s="1017"/>
      <c r="H129" s="1018"/>
      <c r="I129" s="5"/>
      <c r="J129" s="5"/>
      <c r="K129" s="5"/>
      <c r="L129" s="5"/>
      <c r="M129" s="5"/>
      <c r="N129" s="5"/>
      <c r="O129" s="13"/>
    </row>
    <row r="130" spans="1:15" ht="14.4" customHeight="1">
      <c r="A130" s="1016"/>
      <c r="B130" s="1017"/>
      <c r="C130" s="1017"/>
      <c r="D130" s="1017"/>
      <c r="E130" s="1017"/>
      <c r="F130" s="1017"/>
      <c r="G130" s="1017"/>
      <c r="H130" s="1018"/>
      <c r="I130" s="5"/>
      <c r="J130" s="5"/>
      <c r="K130" s="5"/>
      <c r="L130" s="5"/>
      <c r="M130" s="5"/>
      <c r="N130" s="5"/>
      <c r="O130" s="13"/>
    </row>
    <row r="131" spans="1:15" ht="14.4" customHeight="1">
      <c r="A131" s="1016"/>
      <c r="B131" s="1017"/>
      <c r="C131" s="1017"/>
      <c r="D131" s="1017"/>
      <c r="E131" s="1017"/>
      <c r="F131" s="1017"/>
      <c r="G131" s="1017"/>
      <c r="H131" s="1018"/>
      <c r="I131" s="5"/>
      <c r="J131" s="5"/>
      <c r="K131" s="5"/>
      <c r="L131" s="5"/>
      <c r="M131" s="5"/>
      <c r="N131" s="5"/>
      <c r="O131" s="13"/>
    </row>
    <row r="132" spans="1:15" ht="14.4" customHeight="1">
      <c r="A132" s="1016"/>
      <c r="B132" s="1017"/>
      <c r="C132" s="1017"/>
      <c r="D132" s="1017"/>
      <c r="E132" s="1017"/>
      <c r="F132" s="1017"/>
      <c r="G132" s="1017"/>
      <c r="H132" s="1018"/>
      <c r="I132" s="5"/>
      <c r="J132" s="5"/>
      <c r="K132" s="5"/>
      <c r="L132" s="5"/>
      <c r="M132" s="5"/>
      <c r="N132" s="5"/>
      <c r="O132" s="13"/>
    </row>
    <row r="133" spans="1:15" ht="20.399999999999999" customHeight="1" thickBot="1">
      <c r="A133" s="1016"/>
      <c r="B133" s="1017"/>
      <c r="C133" s="1017"/>
      <c r="D133" s="1017"/>
      <c r="E133" s="1017"/>
      <c r="F133" s="1017"/>
      <c r="G133" s="1017"/>
      <c r="H133" s="1018"/>
      <c r="I133" s="5"/>
      <c r="J133" s="5"/>
      <c r="K133" s="5"/>
      <c r="L133" s="5"/>
      <c r="M133" s="5"/>
      <c r="N133" s="5"/>
      <c r="O133" s="13"/>
    </row>
    <row r="134" spans="1:15" ht="15" customHeight="1" thickBot="1">
      <c r="A134" s="264" t="s">
        <v>5</v>
      </c>
      <c r="B134" s="265"/>
      <c r="C134" s="265"/>
      <c r="D134" s="265"/>
      <c r="E134" s="265"/>
      <c r="F134" s="265"/>
      <c r="G134" s="266"/>
      <c r="H134" s="267"/>
      <c r="I134" s="5"/>
      <c r="J134" s="5"/>
      <c r="K134" s="5"/>
      <c r="L134" s="5"/>
      <c r="M134" s="5"/>
      <c r="N134" s="5"/>
      <c r="O134" s="13"/>
    </row>
    <row r="135" spans="1:15">
      <c r="A135" s="174" t="s">
        <v>694</v>
      </c>
      <c r="B135" s="175"/>
      <c r="C135" s="175"/>
      <c r="D135" s="175"/>
      <c r="E135" s="175"/>
      <c r="F135" s="175"/>
      <c r="G135" s="175"/>
      <c r="H135" s="161"/>
      <c r="I135" s="5"/>
      <c r="J135" s="5"/>
      <c r="K135" s="5"/>
      <c r="L135" s="5"/>
      <c r="M135" s="5"/>
      <c r="N135" s="5"/>
      <c r="O135" s="13"/>
    </row>
    <row r="136" spans="1:15" ht="32.4" customHeight="1">
      <c r="A136" s="1045" t="s">
        <v>203</v>
      </c>
      <c r="B136" s="1046"/>
      <c r="C136" s="1046"/>
      <c r="D136" s="1046"/>
      <c r="E136" s="1046"/>
      <c r="F136" s="1046"/>
      <c r="G136" s="1046"/>
      <c r="H136" s="1047"/>
      <c r="I136" s="5"/>
      <c r="J136" s="5"/>
      <c r="K136" s="5"/>
      <c r="L136" s="5"/>
      <c r="M136" s="5"/>
      <c r="N136" s="5"/>
      <c r="O136" s="13"/>
    </row>
    <row r="137" spans="1:15">
      <c r="A137" s="232" t="s">
        <v>695</v>
      </c>
      <c r="B137" s="233"/>
      <c r="C137" s="233"/>
      <c r="D137" s="233"/>
      <c r="E137" s="233"/>
      <c r="F137" s="233"/>
      <c r="G137" s="698"/>
      <c r="H137" s="699"/>
      <c r="I137" s="5"/>
      <c r="J137" s="5"/>
      <c r="K137" s="5"/>
      <c r="L137" s="5"/>
      <c r="M137" s="5"/>
      <c r="N137" s="5"/>
      <c r="O137" s="13"/>
    </row>
    <row r="138" spans="1:15">
      <c r="A138" s="300" t="s">
        <v>197</v>
      </c>
      <c r="B138" s="301"/>
      <c r="C138" s="301"/>
      <c r="D138" s="77"/>
      <c r="E138" s="301"/>
      <c r="F138" s="255">
        <f>100000*(1+0.07)-100000</f>
        <v>7000</v>
      </c>
      <c r="G138" s="698"/>
      <c r="H138" s="699"/>
      <c r="I138" s="5"/>
      <c r="J138" s="5"/>
      <c r="K138" s="5"/>
      <c r="L138" s="5"/>
      <c r="M138" s="5"/>
      <c r="N138" s="5"/>
      <c r="O138" s="13"/>
    </row>
    <row r="139" spans="1:15">
      <c r="A139" s="300" t="s">
        <v>198</v>
      </c>
      <c r="B139" s="140"/>
      <c r="C139" s="140"/>
      <c r="D139" s="77"/>
      <c r="E139" s="140"/>
      <c r="F139" s="255">
        <f>100000*(1+0.078)-100000</f>
        <v>7800</v>
      </c>
      <c r="G139" s="698"/>
      <c r="H139" s="699"/>
      <c r="I139" s="5"/>
      <c r="J139" s="5"/>
      <c r="K139" s="5"/>
      <c r="L139" s="5"/>
      <c r="M139" s="5"/>
      <c r="N139" s="5"/>
      <c r="O139" s="13"/>
    </row>
    <row r="140" spans="1:15">
      <c r="A140" s="300" t="s">
        <v>696</v>
      </c>
      <c r="B140" s="140"/>
      <c r="C140" s="140"/>
      <c r="D140" s="77"/>
      <c r="E140" s="140"/>
      <c r="F140" s="255"/>
      <c r="G140" s="698"/>
      <c r="H140" s="699"/>
      <c r="I140" s="5"/>
      <c r="J140" s="5"/>
      <c r="K140" s="5"/>
      <c r="L140" s="5"/>
      <c r="M140" s="5"/>
      <c r="N140" s="5"/>
      <c r="O140" s="13"/>
    </row>
    <row r="141" spans="1:15">
      <c r="A141" s="302" t="s">
        <v>196</v>
      </c>
      <c r="B141" s="148"/>
      <c r="C141" s="148"/>
      <c r="D141" s="297"/>
      <c r="E141" s="148"/>
      <c r="F141" s="140"/>
      <c r="G141" s="140"/>
      <c r="H141" s="143"/>
      <c r="I141" s="5"/>
      <c r="J141" s="5"/>
      <c r="K141" s="5"/>
      <c r="L141" s="5"/>
      <c r="M141" s="5"/>
      <c r="N141" s="5"/>
      <c r="O141" s="13"/>
    </row>
    <row r="142" spans="1:15">
      <c r="A142" s="303" t="s">
        <v>199</v>
      </c>
      <c r="B142" s="304"/>
      <c r="C142" s="305"/>
      <c r="D142" s="306">
        <v>15493.75</v>
      </c>
      <c r="E142" s="304" t="s">
        <v>697</v>
      </c>
      <c r="F142" s="307"/>
      <c r="G142" s="308"/>
      <c r="H142" s="309"/>
      <c r="I142" s="5"/>
      <c r="J142" s="5"/>
      <c r="K142" s="5"/>
      <c r="L142" s="5"/>
      <c r="M142" s="5"/>
      <c r="N142" s="5"/>
      <c r="O142" s="13"/>
    </row>
    <row r="143" spans="1:15">
      <c r="A143" s="310" t="s">
        <v>200</v>
      </c>
      <c r="B143" s="77"/>
      <c r="C143" s="148"/>
      <c r="D143" s="177">
        <v>16170.12</v>
      </c>
      <c r="E143" s="148" t="s">
        <v>698</v>
      </c>
      <c r="F143" s="140"/>
      <c r="G143" s="187"/>
      <c r="H143" s="143"/>
      <c r="I143" s="5"/>
      <c r="J143" s="5"/>
      <c r="K143" s="5"/>
      <c r="L143" s="5"/>
      <c r="M143" s="5"/>
      <c r="N143" s="5"/>
      <c r="O143" s="13"/>
    </row>
    <row r="144" spans="1:15">
      <c r="A144" s="303" t="s">
        <v>201</v>
      </c>
      <c r="B144" s="305"/>
      <c r="C144" s="305"/>
      <c r="D144" s="311">
        <v>0.26690000000000003</v>
      </c>
      <c r="E144" s="305"/>
      <c r="F144" s="305"/>
      <c r="G144" s="307"/>
      <c r="H144" s="309"/>
      <c r="I144" s="5"/>
      <c r="J144" s="5"/>
      <c r="K144" s="5"/>
      <c r="L144" s="5"/>
      <c r="M144" s="5"/>
      <c r="N144" s="5"/>
      <c r="O144" s="13"/>
    </row>
    <row r="145" spans="1:15" ht="15" thickBot="1">
      <c r="A145" s="312" t="s">
        <v>202</v>
      </c>
      <c r="B145" s="290"/>
      <c r="C145" s="290"/>
      <c r="D145" s="313">
        <v>0.28029999999999999</v>
      </c>
      <c r="E145" s="290"/>
      <c r="F145" s="290"/>
      <c r="G145" s="158"/>
      <c r="H145" s="146"/>
      <c r="I145" s="14"/>
      <c r="J145" s="14"/>
      <c r="K145" s="14"/>
      <c r="L145" s="14"/>
      <c r="M145" s="14"/>
      <c r="N145" s="14"/>
      <c r="O145" s="15"/>
    </row>
    <row r="146" spans="1:15" ht="16.2" thickBot="1">
      <c r="A146" s="5"/>
      <c r="B146" s="5"/>
      <c r="C146" s="5"/>
      <c r="D146" s="5"/>
      <c r="E146" s="5"/>
      <c r="F146" s="5"/>
      <c r="G146" s="5"/>
      <c r="H146" s="238"/>
    </row>
    <row r="147" spans="1:15" ht="15" thickBot="1">
      <c r="A147" s="977" t="s">
        <v>779</v>
      </c>
      <c r="B147" s="978"/>
      <c r="C147" s="978"/>
      <c r="D147" s="978"/>
      <c r="E147" s="978"/>
      <c r="F147" s="978"/>
      <c r="G147" s="978"/>
      <c r="H147" s="978"/>
      <c r="I147" s="978"/>
      <c r="J147" s="978"/>
      <c r="K147" s="978"/>
      <c r="L147" s="978"/>
      <c r="M147" s="978"/>
      <c r="N147" s="978"/>
      <c r="O147" s="979"/>
    </row>
    <row r="148" spans="1:15" ht="22.2" customHeight="1">
      <c r="A148" s="938" t="s">
        <v>757</v>
      </c>
      <c r="B148" s="939"/>
      <c r="C148" s="939"/>
      <c r="D148" s="939"/>
      <c r="E148" s="939"/>
      <c r="F148" s="939"/>
      <c r="G148" s="939"/>
      <c r="H148" s="940"/>
      <c r="I148" s="5"/>
      <c r="J148" s="5"/>
      <c r="K148" s="5"/>
      <c r="L148" s="5"/>
      <c r="M148" s="5"/>
      <c r="N148" s="5"/>
      <c r="O148" s="13"/>
    </row>
    <row r="149" spans="1:15" ht="26.4" customHeight="1" thickBot="1">
      <c r="A149" s="941"/>
      <c r="B149" s="942"/>
      <c r="C149" s="942"/>
      <c r="D149" s="942"/>
      <c r="E149" s="942"/>
      <c r="F149" s="942"/>
      <c r="G149" s="942"/>
      <c r="H149" s="943"/>
      <c r="I149" s="5"/>
      <c r="J149" s="5"/>
      <c r="K149" s="5"/>
      <c r="L149" s="5"/>
      <c r="M149" s="5"/>
      <c r="N149" s="5"/>
      <c r="O149" s="13"/>
    </row>
    <row r="150" spans="1:15" ht="14.4" customHeight="1" thickBot="1">
      <c r="A150" s="264" t="s">
        <v>5</v>
      </c>
      <c r="B150" s="265"/>
      <c r="C150" s="265"/>
      <c r="D150" s="265"/>
      <c r="E150" s="265"/>
      <c r="F150" s="265"/>
      <c r="G150" s="266"/>
      <c r="H150" s="267"/>
      <c r="I150" s="5"/>
      <c r="J150" s="5"/>
      <c r="K150" s="5"/>
      <c r="L150" s="5"/>
      <c r="M150" s="5"/>
      <c r="N150" s="5"/>
      <c r="O150" s="13"/>
    </row>
    <row r="151" spans="1:15" ht="14.4" customHeight="1">
      <c r="A151" s="268" t="s">
        <v>788</v>
      </c>
      <c r="B151" s="260"/>
      <c r="C151" s="260"/>
      <c r="D151" s="260"/>
      <c r="E151" s="260"/>
      <c r="F151" s="260"/>
      <c r="G151" s="260"/>
      <c r="H151" s="261"/>
      <c r="I151" s="5"/>
      <c r="J151" s="5"/>
      <c r="K151" s="5"/>
      <c r="L151" s="5"/>
      <c r="M151" s="5"/>
      <c r="N151" s="5"/>
      <c r="O151" s="13"/>
    </row>
    <row r="152" spans="1:15" ht="14.4" customHeight="1">
      <c r="A152" s="1036"/>
      <c r="B152" s="1037"/>
      <c r="C152" s="1037"/>
      <c r="D152" s="1037"/>
      <c r="E152" s="1037"/>
      <c r="F152" s="1037"/>
      <c r="G152" s="1037"/>
      <c r="H152" s="1038"/>
      <c r="I152" s="5"/>
      <c r="J152" s="5"/>
      <c r="K152" s="5"/>
      <c r="L152" s="5"/>
      <c r="M152" s="5"/>
      <c r="N152" s="5"/>
      <c r="O152" s="13"/>
    </row>
    <row r="153" spans="1:15" ht="15.6">
      <c r="A153" s="262"/>
      <c r="B153" s="263"/>
      <c r="C153" s="263"/>
      <c r="D153" s="263"/>
      <c r="E153" s="263"/>
      <c r="F153" s="263"/>
      <c r="G153" s="663"/>
      <c r="H153" s="664"/>
      <c r="I153" s="5"/>
      <c r="J153" s="5"/>
      <c r="K153" s="5"/>
      <c r="L153" s="5"/>
      <c r="M153" s="5"/>
      <c r="N153" s="5"/>
      <c r="O153" s="13"/>
    </row>
    <row r="154" spans="1:15">
      <c r="A154" s="152"/>
      <c r="B154" s="140"/>
      <c r="C154" s="140"/>
      <c r="D154" s="140"/>
      <c r="E154" s="140"/>
      <c r="F154" s="140"/>
      <c r="G154" s="140"/>
      <c r="H154" s="143"/>
      <c r="I154" s="5"/>
      <c r="J154" s="5"/>
      <c r="K154" s="5"/>
      <c r="L154" s="5"/>
      <c r="M154" s="5"/>
      <c r="N154" s="5"/>
      <c r="O154" s="13"/>
    </row>
    <row r="155" spans="1:15">
      <c r="A155" s="152"/>
      <c r="B155" s="140"/>
      <c r="C155" s="140"/>
      <c r="D155" s="140"/>
      <c r="E155" s="140"/>
      <c r="F155" s="298"/>
      <c r="G155" s="298"/>
      <c r="H155" s="143"/>
      <c r="I155" s="5"/>
      <c r="J155" s="5"/>
      <c r="K155" s="5"/>
      <c r="L155" s="5"/>
      <c r="M155" s="5"/>
      <c r="N155" s="5"/>
      <c r="O155" s="13"/>
    </row>
    <row r="156" spans="1:15" ht="15.6">
      <c r="A156" s="237" t="s">
        <v>205</v>
      </c>
      <c r="B156" s="140"/>
      <c r="C156" s="140"/>
      <c r="D156" s="140"/>
      <c r="E156" s="140"/>
      <c r="F156" s="140"/>
      <c r="G156" s="140"/>
      <c r="H156" s="143"/>
      <c r="I156" s="5"/>
      <c r="J156" s="5"/>
      <c r="K156" s="5"/>
      <c r="L156" s="5"/>
      <c r="M156" s="5"/>
      <c r="N156" s="5"/>
      <c r="O156" s="13"/>
    </row>
    <row r="157" spans="1:15">
      <c r="A157" s="152"/>
      <c r="B157" s="140"/>
      <c r="C157" s="140"/>
      <c r="D157" s="140"/>
      <c r="E157" s="140"/>
      <c r="F157" s="140"/>
      <c r="G157" s="140"/>
      <c r="H157" s="143"/>
      <c r="I157" s="5"/>
      <c r="J157" s="5"/>
      <c r="K157" s="5"/>
      <c r="L157" s="5"/>
      <c r="M157" s="5"/>
      <c r="N157" s="5"/>
      <c r="O157" s="13"/>
    </row>
    <row r="158" spans="1:15">
      <c r="A158" s="152"/>
      <c r="B158" s="140"/>
      <c r="C158" s="140"/>
      <c r="D158" s="140"/>
      <c r="E158" s="140"/>
      <c r="F158" s="140"/>
      <c r="G158" s="140"/>
      <c r="H158" s="143"/>
      <c r="I158" s="5"/>
      <c r="J158" s="5"/>
      <c r="K158" s="5"/>
      <c r="L158" s="5"/>
      <c r="M158" s="5"/>
      <c r="N158" s="5"/>
      <c r="O158" s="13"/>
    </row>
    <row r="159" spans="1:15">
      <c r="A159" s="152"/>
      <c r="B159" s="140"/>
      <c r="C159" s="140"/>
      <c r="D159" s="140"/>
      <c r="E159" s="140"/>
      <c r="F159" s="140"/>
      <c r="G159" s="140"/>
      <c r="H159" s="143"/>
      <c r="I159" s="5"/>
      <c r="J159" s="5"/>
      <c r="K159" s="5"/>
      <c r="L159" s="5"/>
      <c r="M159" s="5"/>
      <c r="N159" s="5"/>
      <c r="O159" s="13"/>
    </row>
    <row r="160" spans="1:15">
      <c r="A160" s="152"/>
      <c r="B160" s="140"/>
      <c r="C160" s="140"/>
      <c r="D160" s="140"/>
      <c r="E160" s="140"/>
      <c r="F160" s="140"/>
      <c r="G160" s="140"/>
      <c r="H160" s="143"/>
      <c r="I160" s="5"/>
      <c r="J160" s="5"/>
      <c r="K160" s="5"/>
      <c r="L160" s="5"/>
      <c r="M160" s="5"/>
      <c r="N160" s="5"/>
      <c r="O160" s="13"/>
    </row>
    <row r="161" spans="1:15">
      <c r="A161" s="152"/>
      <c r="B161" s="140"/>
      <c r="C161" s="140"/>
      <c r="D161" s="140"/>
      <c r="E161" s="140"/>
      <c r="F161" s="140"/>
      <c r="G161" s="140"/>
      <c r="H161" s="143"/>
      <c r="I161" s="5"/>
      <c r="J161" s="5"/>
      <c r="K161" s="5"/>
      <c r="L161" s="5"/>
      <c r="M161" s="5"/>
      <c r="N161" s="5"/>
      <c r="O161" s="13"/>
    </row>
    <row r="162" spans="1:15">
      <c r="A162" s="152"/>
      <c r="B162" s="140"/>
      <c r="C162" s="140"/>
      <c r="D162" s="140"/>
      <c r="E162" s="140"/>
      <c r="F162" s="140"/>
      <c r="G162" s="140"/>
      <c r="H162" s="143"/>
      <c r="I162" s="5"/>
      <c r="J162" s="5"/>
      <c r="K162" s="5"/>
      <c r="L162" s="5"/>
      <c r="M162" s="5"/>
      <c r="N162" s="5"/>
      <c r="O162" s="13"/>
    </row>
    <row r="163" spans="1:15">
      <c r="A163" s="152" t="s">
        <v>445</v>
      </c>
      <c r="B163" s="140"/>
      <c r="C163" s="140"/>
      <c r="D163" s="298"/>
      <c r="E163" s="298">
        <f>104.8%-100%</f>
        <v>4.8000000000000043E-2</v>
      </c>
      <c r="F163" s="299"/>
      <c r="G163" s="140"/>
      <c r="H163" s="143"/>
      <c r="I163" s="5"/>
      <c r="J163" s="5"/>
      <c r="K163" s="5"/>
      <c r="L163" s="5"/>
      <c r="M163" s="5"/>
      <c r="N163" s="5"/>
      <c r="O163" s="13"/>
    </row>
    <row r="164" spans="1:15">
      <c r="A164" s="1027" t="s">
        <v>586</v>
      </c>
      <c r="B164" s="1028"/>
      <c r="C164" s="1028"/>
      <c r="D164" s="1028"/>
      <c r="E164" s="1028"/>
      <c r="F164" s="255">
        <f>340000*(E163+1)</f>
        <v>356320</v>
      </c>
      <c r="G164" s="140"/>
      <c r="H164" s="143"/>
      <c r="I164" s="5"/>
      <c r="J164" s="5"/>
      <c r="K164" s="5"/>
      <c r="L164" s="5"/>
      <c r="M164" s="5"/>
      <c r="N164" s="5"/>
      <c r="O164" s="13"/>
    </row>
    <row r="165" spans="1:15">
      <c r="A165" s="152"/>
      <c r="B165" s="140"/>
      <c r="C165" s="140"/>
      <c r="D165" s="140"/>
      <c r="E165" s="140"/>
      <c r="F165" s="140"/>
      <c r="G165" s="140"/>
      <c r="H165" s="143"/>
      <c r="I165" s="5"/>
      <c r="J165" s="5"/>
      <c r="K165" s="5"/>
      <c r="L165" s="5"/>
      <c r="M165" s="5"/>
      <c r="N165" s="5"/>
      <c r="O165" s="13"/>
    </row>
    <row r="166" spans="1:15" ht="15" thickBot="1">
      <c r="A166" s="155" t="s">
        <v>206</v>
      </c>
      <c r="B166" s="156" t="s">
        <v>446</v>
      </c>
      <c r="C166" s="156"/>
      <c r="D166" s="156"/>
      <c r="E166" s="156"/>
      <c r="F166" s="157">
        <f>F164*0.09/12*1/((1+0.09/12)^(3*12)-1)</f>
        <v>8658.4807413899562</v>
      </c>
      <c r="G166" s="158"/>
      <c r="H166" s="146"/>
      <c r="I166" s="5"/>
      <c r="J166" s="5"/>
      <c r="K166" s="5"/>
      <c r="L166" s="5"/>
      <c r="M166" s="5"/>
      <c r="N166" s="5"/>
      <c r="O166" s="13"/>
    </row>
    <row r="167" spans="1:15" ht="15" thickBot="1">
      <c r="A167" s="21"/>
      <c r="B167" s="5"/>
      <c r="C167" s="5"/>
      <c r="D167" s="5"/>
      <c r="E167" s="5"/>
      <c r="F167" s="5"/>
      <c r="G167" s="5"/>
      <c r="H167" s="5"/>
      <c r="I167" s="5"/>
      <c r="J167" s="5"/>
      <c r="K167" s="5"/>
      <c r="L167" s="5"/>
      <c r="M167" s="5"/>
      <c r="N167" s="5"/>
      <c r="O167" s="13"/>
    </row>
    <row r="168" spans="1:15" ht="15" thickBot="1">
      <c r="A168" s="968" t="s">
        <v>780</v>
      </c>
      <c r="B168" s="969"/>
      <c r="C168" s="969"/>
      <c r="D168" s="969"/>
      <c r="E168" s="969"/>
      <c r="F168" s="969"/>
      <c r="G168" s="969"/>
      <c r="H168" s="969"/>
      <c r="I168" s="969"/>
      <c r="J168" s="969"/>
      <c r="K168" s="969"/>
      <c r="L168" s="969"/>
      <c r="M168" s="969"/>
      <c r="N168" s="969"/>
      <c r="O168" s="970"/>
    </row>
    <row r="169" spans="1:15" ht="14.4" customHeight="1">
      <c r="A169" s="1016" t="s">
        <v>652</v>
      </c>
      <c r="B169" s="1017"/>
      <c r="C169" s="1017"/>
      <c r="D169" s="1017"/>
      <c r="E169" s="1017"/>
      <c r="F169" s="1017"/>
      <c r="G169" s="1017"/>
      <c r="H169" s="1018"/>
      <c r="I169" s="5"/>
      <c r="J169" s="5"/>
      <c r="K169" s="5"/>
      <c r="L169" s="5"/>
      <c r="M169" s="5"/>
      <c r="N169" s="5"/>
      <c r="O169" s="13"/>
    </row>
    <row r="170" spans="1:15" ht="14.4" customHeight="1">
      <c r="A170" s="1016"/>
      <c r="B170" s="1017"/>
      <c r="C170" s="1017"/>
      <c r="D170" s="1017"/>
      <c r="E170" s="1017"/>
      <c r="F170" s="1017"/>
      <c r="G170" s="1017"/>
      <c r="H170" s="1018"/>
      <c r="I170" s="5"/>
      <c r="J170" s="5"/>
      <c r="K170" s="5"/>
      <c r="L170" s="5"/>
      <c r="M170" s="5"/>
      <c r="N170" s="5"/>
      <c r="O170" s="13"/>
    </row>
    <row r="171" spans="1:15" ht="14.4" customHeight="1">
      <c r="A171" s="1016"/>
      <c r="B171" s="1017"/>
      <c r="C171" s="1017"/>
      <c r="D171" s="1017"/>
      <c r="E171" s="1017"/>
      <c r="F171" s="1017"/>
      <c r="G171" s="1017"/>
      <c r="H171" s="1018"/>
      <c r="I171" s="5"/>
      <c r="J171" s="5"/>
      <c r="K171" s="5"/>
      <c r="L171" s="5"/>
      <c r="M171" s="5"/>
      <c r="N171" s="5"/>
      <c r="O171" s="13"/>
    </row>
    <row r="172" spans="1:15" ht="14.4" customHeight="1">
      <c r="A172" s="1016"/>
      <c r="B172" s="1017"/>
      <c r="C172" s="1017"/>
      <c r="D172" s="1017"/>
      <c r="E172" s="1017"/>
      <c r="F172" s="1017"/>
      <c r="G172" s="1017"/>
      <c r="H172" s="1018"/>
      <c r="I172" s="5"/>
      <c r="J172" s="5"/>
      <c r="K172" s="5"/>
      <c r="L172" s="5"/>
      <c r="M172" s="5"/>
      <c r="N172" s="5"/>
      <c r="O172" s="13"/>
    </row>
    <row r="173" spans="1:15" ht="14.4" customHeight="1">
      <c r="A173" s="1016"/>
      <c r="B173" s="1017"/>
      <c r="C173" s="1017"/>
      <c r="D173" s="1017"/>
      <c r="E173" s="1017"/>
      <c r="F173" s="1017"/>
      <c r="G173" s="1017"/>
      <c r="H173" s="1018"/>
      <c r="I173" s="5"/>
      <c r="J173" s="5"/>
      <c r="K173" s="5"/>
      <c r="L173" s="5"/>
      <c r="M173" s="5"/>
      <c r="N173" s="5"/>
      <c r="O173" s="13"/>
    </row>
    <row r="174" spans="1:15" ht="14.4" customHeight="1">
      <c r="A174" s="1016"/>
      <c r="B174" s="1017"/>
      <c r="C174" s="1017"/>
      <c r="D174" s="1017"/>
      <c r="E174" s="1017"/>
      <c r="F174" s="1017"/>
      <c r="G174" s="1017"/>
      <c r="H174" s="1018"/>
      <c r="I174" s="5"/>
      <c r="J174" s="5"/>
      <c r="K174" s="5"/>
      <c r="L174" s="5"/>
      <c r="M174" s="5"/>
      <c r="N174" s="5"/>
      <c r="O174" s="13"/>
    </row>
    <row r="175" spans="1:15" ht="15" thickBot="1">
      <c r="A175" s="1019"/>
      <c r="B175" s="1020"/>
      <c r="C175" s="1020"/>
      <c r="D175" s="1020"/>
      <c r="E175" s="1020"/>
      <c r="F175" s="1020"/>
      <c r="G175" s="1020"/>
      <c r="H175" s="1021"/>
      <c r="I175" s="5"/>
      <c r="J175" s="5"/>
      <c r="K175" s="5"/>
      <c r="L175" s="5"/>
      <c r="M175" s="5"/>
      <c r="N175" s="5"/>
      <c r="O175" s="13"/>
    </row>
    <row r="176" spans="1:15" ht="16.2" thickBot="1">
      <c r="A176" s="264" t="s">
        <v>5</v>
      </c>
      <c r="B176" s="265"/>
      <c r="C176" s="265"/>
      <c r="D176" s="265"/>
      <c r="E176" s="265"/>
      <c r="F176" s="265"/>
      <c r="G176" s="266"/>
      <c r="H176" s="267"/>
      <c r="I176" s="5"/>
      <c r="J176" s="5"/>
      <c r="K176" s="5"/>
      <c r="L176" s="5"/>
      <c r="M176" s="5"/>
      <c r="N176" s="5"/>
      <c r="O176" s="13"/>
    </row>
    <row r="177" spans="1:15">
      <c r="A177" s="332" t="s">
        <v>208</v>
      </c>
      <c r="B177" s="175"/>
      <c r="C177" s="175"/>
      <c r="D177" s="175"/>
      <c r="E177" s="175"/>
      <c r="F177" s="175"/>
      <c r="G177" s="175"/>
      <c r="H177" s="161"/>
      <c r="I177" s="5"/>
      <c r="J177" s="5"/>
      <c r="K177" s="5"/>
      <c r="L177" s="5"/>
      <c r="M177" s="5"/>
      <c r="N177" s="5"/>
      <c r="O177" s="13"/>
    </row>
    <row r="178" spans="1:15">
      <c r="A178" s="333" t="s">
        <v>9</v>
      </c>
      <c r="B178" s="662">
        <v>1.06</v>
      </c>
      <c r="C178" s="148" t="s">
        <v>209</v>
      </c>
      <c r="D178" s="140"/>
      <c r="E178" s="140"/>
      <c r="F178" s="140"/>
      <c r="G178" s="140"/>
      <c r="H178" s="257">
        <f>500000*B178-500000</f>
        <v>30000</v>
      </c>
      <c r="I178" s="5"/>
      <c r="J178" s="5"/>
      <c r="K178" s="5"/>
      <c r="L178" s="5"/>
      <c r="M178" s="5"/>
      <c r="N178" s="5"/>
      <c r="O178" s="13"/>
    </row>
    <row r="179" spans="1:15">
      <c r="A179" s="333"/>
      <c r="B179" s="662"/>
      <c r="C179" s="148" t="s">
        <v>211</v>
      </c>
      <c r="D179" s="140"/>
      <c r="E179" s="140"/>
      <c r="F179" s="140"/>
      <c r="G179" s="140"/>
      <c r="H179" s="257">
        <f>60000</f>
        <v>60000</v>
      </c>
      <c r="I179" s="5"/>
      <c r="J179" s="5"/>
      <c r="K179" s="5"/>
      <c r="L179" s="5"/>
      <c r="M179" s="5"/>
      <c r="N179" s="5"/>
      <c r="O179" s="13"/>
    </row>
    <row r="180" spans="1:15">
      <c r="A180" s="168" t="s">
        <v>214</v>
      </c>
      <c r="B180" s="140"/>
      <c r="C180" s="140"/>
      <c r="D180" s="140"/>
      <c r="E180" s="140"/>
      <c r="F180" s="140"/>
      <c r="G180" s="140"/>
      <c r="H180" s="143"/>
      <c r="I180" s="5"/>
      <c r="J180" s="5"/>
      <c r="K180" s="5"/>
      <c r="L180" s="5"/>
      <c r="M180" s="5"/>
      <c r="N180" s="5"/>
      <c r="O180" s="13"/>
    </row>
    <row r="181" spans="1:15" ht="18" customHeight="1">
      <c r="A181" s="152" t="s">
        <v>289</v>
      </c>
      <c r="B181" s="140"/>
      <c r="C181" s="140"/>
      <c r="D181" s="140"/>
      <c r="E181" s="140"/>
      <c r="F181" s="140"/>
      <c r="G181" s="140"/>
      <c r="H181" s="278">
        <f>100000*B178-100000</f>
        <v>6000</v>
      </c>
      <c r="I181" s="5"/>
      <c r="J181" s="5"/>
      <c r="K181" s="5"/>
      <c r="L181" s="5"/>
      <c r="M181" s="5"/>
      <c r="N181" s="5"/>
      <c r="O181" s="680"/>
    </row>
    <row r="182" spans="1:15" ht="18" customHeight="1">
      <c r="A182" s="152" t="s">
        <v>210</v>
      </c>
      <c r="B182" s="140"/>
      <c r="C182" s="140"/>
      <c r="D182" s="140"/>
      <c r="E182" s="299" t="s">
        <v>9</v>
      </c>
      <c r="F182" s="662">
        <v>1.0900000000000001</v>
      </c>
      <c r="G182" s="140"/>
      <c r="H182" s="278">
        <f>400000*F182-400000</f>
        <v>36000.000000000058</v>
      </c>
      <c r="I182" s="5"/>
      <c r="J182" s="5"/>
      <c r="K182" s="5"/>
      <c r="L182" s="5"/>
      <c r="M182" s="5"/>
      <c r="N182" s="5"/>
      <c r="O182" s="681"/>
    </row>
    <row r="183" spans="1:15" ht="18" customHeight="1">
      <c r="A183" s="152"/>
      <c r="B183" s="140"/>
      <c r="C183" s="140"/>
      <c r="D183" s="140"/>
      <c r="E183" s="140"/>
      <c r="F183" s="140"/>
      <c r="G183" s="176" t="s">
        <v>57</v>
      </c>
      <c r="H183" s="257">
        <f>+H182+H181</f>
        <v>42000.000000000058</v>
      </c>
      <c r="I183" s="5"/>
      <c r="J183" s="5"/>
      <c r="K183" s="5"/>
      <c r="L183" s="5"/>
      <c r="M183" s="5"/>
      <c r="N183" s="5"/>
      <c r="O183" s="680"/>
    </row>
    <row r="184" spans="1:15" ht="18" customHeight="1">
      <c r="A184" s="335" t="s">
        <v>212</v>
      </c>
      <c r="B184" s="307"/>
      <c r="C184" s="307"/>
      <c r="D184" s="307"/>
      <c r="E184" s="307"/>
      <c r="F184" s="307"/>
      <c r="G184" s="307"/>
      <c r="H184" s="309"/>
      <c r="I184" s="5"/>
      <c r="J184" s="5"/>
      <c r="K184" s="5"/>
      <c r="L184" s="5"/>
      <c r="M184" s="5"/>
      <c r="N184" s="5"/>
      <c r="O184" s="682"/>
    </row>
    <row r="185" spans="1:15" ht="18" customHeight="1" thickBot="1">
      <c r="A185" s="319" t="s">
        <v>213</v>
      </c>
      <c r="B185" s="182"/>
      <c r="C185" s="182"/>
      <c r="D185" s="182"/>
      <c r="E185" s="182"/>
      <c r="F185" s="182"/>
      <c r="G185" s="179" t="s">
        <v>57</v>
      </c>
      <c r="H185" s="336">
        <f>470000*F182-470000</f>
        <v>42300.000000000058</v>
      </c>
      <c r="I185" s="5"/>
      <c r="J185" s="5"/>
      <c r="K185" s="5"/>
      <c r="L185" s="5"/>
      <c r="M185" s="5"/>
      <c r="N185" s="5"/>
      <c r="O185" s="682"/>
    </row>
    <row r="186" spans="1:15" ht="18" customHeight="1" thickBot="1">
      <c r="A186" s="21"/>
      <c r="B186" s="5"/>
      <c r="C186" s="5"/>
      <c r="D186" s="5"/>
      <c r="E186" s="5"/>
      <c r="F186" s="5"/>
      <c r="G186" s="5"/>
      <c r="H186" s="5"/>
      <c r="I186" s="5"/>
      <c r="J186" s="5"/>
      <c r="K186" s="5"/>
      <c r="L186" s="5"/>
      <c r="M186" s="5"/>
      <c r="N186" s="5"/>
      <c r="O186" s="682"/>
    </row>
    <row r="187" spans="1:15" ht="18" customHeight="1">
      <c r="A187" s="1013" t="s">
        <v>651</v>
      </c>
      <c r="B187" s="1014"/>
      <c r="C187" s="1014"/>
      <c r="D187" s="1014"/>
      <c r="E187" s="1014"/>
      <c r="F187" s="1014"/>
      <c r="G187" s="1014"/>
      <c r="H187" s="1015"/>
      <c r="I187" s="5"/>
      <c r="J187" s="5"/>
      <c r="K187" s="5"/>
      <c r="L187" s="5"/>
      <c r="M187" s="5"/>
      <c r="N187" s="5"/>
      <c r="O187" s="682"/>
    </row>
    <row r="188" spans="1:15" ht="22.8" customHeight="1" thickBot="1">
      <c r="A188" s="1016"/>
      <c r="B188" s="1017"/>
      <c r="C188" s="1017"/>
      <c r="D188" s="1017"/>
      <c r="E188" s="1017"/>
      <c r="F188" s="1017"/>
      <c r="G188" s="1017"/>
      <c r="H188" s="1018"/>
      <c r="I188" s="5"/>
      <c r="J188" s="5"/>
      <c r="K188" s="5"/>
      <c r="L188" s="5"/>
      <c r="M188" s="5"/>
      <c r="N188" s="5"/>
      <c r="O188" s="682"/>
    </row>
    <row r="189" spans="1:15" ht="14.4" customHeight="1" thickBot="1">
      <c r="A189" s="264" t="s">
        <v>5</v>
      </c>
      <c r="B189" s="265"/>
      <c r="C189" s="265"/>
      <c r="D189" s="265"/>
      <c r="E189" s="265"/>
      <c r="F189" s="265"/>
      <c r="G189" s="266"/>
      <c r="H189" s="267"/>
      <c r="I189" s="5"/>
      <c r="J189" s="5"/>
      <c r="K189" s="5"/>
      <c r="L189" s="5"/>
      <c r="M189" s="5"/>
      <c r="N189" s="5"/>
      <c r="O189" s="13"/>
    </row>
    <row r="190" spans="1:15" ht="14.4" customHeight="1" thickBot="1">
      <c r="A190" s="20"/>
      <c r="B190" s="11"/>
      <c r="C190" s="251"/>
      <c r="D190" s="294" t="s">
        <v>215</v>
      </c>
      <c r="E190" s="1029" t="s">
        <v>216</v>
      </c>
      <c r="F190" s="1029"/>
      <c r="G190" s="251"/>
      <c r="H190" s="252"/>
      <c r="I190" s="5"/>
      <c r="J190" s="5"/>
      <c r="K190" s="5"/>
      <c r="L190" s="5"/>
      <c r="M190" s="5"/>
      <c r="N190" s="5"/>
      <c r="O190" s="13"/>
    </row>
    <row r="191" spans="1:15" ht="14.4" customHeight="1" thickBot="1">
      <c r="A191" s="21"/>
      <c r="B191" s="5"/>
      <c r="C191" s="253"/>
      <c r="D191" s="292">
        <v>0</v>
      </c>
      <c r="E191" s="372"/>
      <c r="F191" s="373">
        <v>1000</v>
      </c>
      <c r="G191" s="253"/>
      <c r="H191" s="254"/>
      <c r="I191" s="5"/>
      <c r="J191" s="5"/>
      <c r="K191" s="5"/>
      <c r="L191" s="5"/>
      <c r="M191" s="5"/>
      <c r="N191" s="5"/>
      <c r="O191" s="13"/>
    </row>
    <row r="192" spans="1:15" ht="15" customHeight="1" thickBot="1">
      <c r="A192" s="21"/>
      <c r="B192" s="5"/>
      <c r="C192" s="253"/>
      <c r="D192" s="292">
        <v>1</v>
      </c>
      <c r="E192" s="370" t="s">
        <v>217</v>
      </c>
      <c r="F192" s="371">
        <f>F191/(1+5/100)</f>
        <v>952.38095238095229</v>
      </c>
      <c r="G192" s="253"/>
      <c r="H192" s="254"/>
      <c r="I192" s="5"/>
      <c r="J192" s="5"/>
      <c r="K192" s="5"/>
      <c r="L192" s="5"/>
      <c r="M192" s="5"/>
      <c r="N192" s="5"/>
      <c r="O192" s="13"/>
    </row>
    <row r="193" spans="1:15" ht="15" thickBot="1">
      <c r="A193" s="21"/>
      <c r="B193" s="5"/>
      <c r="C193" s="5"/>
      <c r="D193" s="292">
        <v>5</v>
      </c>
      <c r="E193" s="370" t="s">
        <v>218</v>
      </c>
      <c r="F193" s="371">
        <f>$F$191/(1+5/100)^5</f>
        <v>783.526166468459</v>
      </c>
      <c r="G193" s="5"/>
      <c r="H193" s="13"/>
      <c r="I193" s="5"/>
      <c r="J193" s="5"/>
      <c r="K193" s="5"/>
      <c r="L193" s="5"/>
      <c r="M193" s="5"/>
      <c r="N193" s="5"/>
      <c r="O193" s="13"/>
    </row>
    <row r="194" spans="1:15" ht="15" thickBot="1">
      <c r="A194" s="21"/>
      <c r="B194" s="5"/>
      <c r="C194" s="5"/>
      <c r="D194" s="292">
        <v>10</v>
      </c>
      <c r="E194" s="370" t="s">
        <v>219</v>
      </c>
      <c r="F194" s="371">
        <f>$F$191/(1+5/100)^10</f>
        <v>613.91325354075934</v>
      </c>
      <c r="G194" s="5"/>
      <c r="H194" s="13"/>
      <c r="I194" s="5"/>
      <c r="J194" s="5"/>
      <c r="K194" s="5"/>
      <c r="L194" s="5"/>
      <c r="M194" s="5"/>
      <c r="N194" s="5"/>
      <c r="O194" s="13"/>
    </row>
    <row r="195" spans="1:15" ht="15" thickBot="1">
      <c r="A195" s="21"/>
      <c r="B195" s="5"/>
      <c r="C195" s="5"/>
      <c r="D195" s="292">
        <v>15</v>
      </c>
      <c r="E195" s="370" t="s">
        <v>220</v>
      </c>
      <c r="F195" s="371">
        <f>$F$191/(1+5/100)^15</f>
        <v>481.01709809097019</v>
      </c>
      <c r="G195" s="5"/>
      <c r="H195" s="13"/>
      <c r="I195" s="5"/>
      <c r="J195" s="5"/>
      <c r="K195" s="5"/>
      <c r="L195" s="5"/>
      <c r="M195" s="5"/>
      <c r="N195" s="5"/>
      <c r="O195" s="13"/>
    </row>
    <row r="196" spans="1:15" ht="15" thickBot="1">
      <c r="A196" s="17"/>
      <c r="B196" s="14"/>
      <c r="C196" s="14"/>
      <c r="D196" s="295">
        <v>20</v>
      </c>
      <c r="E196" s="296" t="s">
        <v>221</v>
      </c>
      <c r="F196" s="293">
        <f>$F$191/(1+5/100)^20</f>
        <v>376.88948287300059</v>
      </c>
      <c r="G196" s="14"/>
      <c r="H196" s="15"/>
      <c r="I196" s="5"/>
      <c r="J196" s="5"/>
      <c r="K196" s="5"/>
      <c r="L196" s="5"/>
      <c r="M196" s="5"/>
      <c r="N196" s="5"/>
      <c r="O196" s="13"/>
    </row>
    <row r="197" spans="1:15" ht="15" thickBot="1">
      <c r="A197" s="21"/>
      <c r="B197" s="5"/>
      <c r="C197" s="5"/>
      <c r="D197" s="5"/>
      <c r="E197" s="5"/>
      <c r="F197" s="5"/>
      <c r="G197" s="5"/>
      <c r="H197" s="5"/>
      <c r="I197" s="5"/>
      <c r="J197" s="5"/>
      <c r="K197" s="5"/>
      <c r="L197" s="5"/>
      <c r="M197" s="5"/>
      <c r="N197" s="5"/>
      <c r="O197" s="13"/>
    </row>
    <row r="198" spans="1:15" ht="14.4" customHeight="1">
      <c r="A198" s="1013" t="s">
        <v>758</v>
      </c>
      <c r="B198" s="1014"/>
      <c r="C198" s="1014"/>
      <c r="D198" s="1014"/>
      <c r="E198" s="1014"/>
      <c r="F198" s="1014"/>
      <c r="G198" s="1014"/>
      <c r="H198" s="1015"/>
      <c r="I198" s="5"/>
      <c r="J198" s="5"/>
      <c r="K198" s="5"/>
      <c r="L198" s="5"/>
      <c r="M198" s="5"/>
      <c r="N198" s="5"/>
      <c r="O198" s="13"/>
    </row>
    <row r="199" spans="1:15" ht="14.4" customHeight="1">
      <c r="A199" s="1016"/>
      <c r="B199" s="1017"/>
      <c r="C199" s="1017"/>
      <c r="D199" s="1017"/>
      <c r="E199" s="1017"/>
      <c r="F199" s="1017"/>
      <c r="G199" s="1017"/>
      <c r="H199" s="1018"/>
      <c r="I199" s="5"/>
      <c r="J199" s="5"/>
      <c r="K199" s="5"/>
      <c r="L199" s="5"/>
      <c r="M199" s="5"/>
      <c r="N199" s="5"/>
      <c r="O199" s="13"/>
    </row>
    <row r="200" spans="1:15" ht="14.4" customHeight="1">
      <c r="A200" s="1016"/>
      <c r="B200" s="1017"/>
      <c r="C200" s="1017"/>
      <c r="D200" s="1017"/>
      <c r="E200" s="1017"/>
      <c r="F200" s="1017"/>
      <c r="G200" s="1017"/>
      <c r="H200" s="1018"/>
      <c r="I200" s="5"/>
      <c r="J200" s="5"/>
      <c r="K200" s="5"/>
      <c r="L200" s="5"/>
      <c r="M200" s="5"/>
      <c r="N200" s="5"/>
      <c r="O200" s="13"/>
    </row>
    <row r="201" spans="1:15" ht="14.4" customHeight="1">
      <c r="A201" s="1016"/>
      <c r="B201" s="1017"/>
      <c r="C201" s="1017"/>
      <c r="D201" s="1017"/>
      <c r="E201" s="1017"/>
      <c r="F201" s="1017"/>
      <c r="G201" s="1017"/>
      <c r="H201" s="1018"/>
      <c r="I201" s="5"/>
      <c r="J201" s="5"/>
      <c r="K201" s="5"/>
      <c r="L201" s="5"/>
      <c r="M201" s="5"/>
      <c r="N201" s="5"/>
      <c r="O201" s="13"/>
    </row>
    <row r="202" spans="1:15" ht="14.4" customHeight="1">
      <c r="A202" s="1016"/>
      <c r="B202" s="1017"/>
      <c r="C202" s="1017"/>
      <c r="D202" s="1017"/>
      <c r="E202" s="1017"/>
      <c r="F202" s="1017"/>
      <c r="G202" s="1017"/>
      <c r="H202" s="1018"/>
      <c r="I202" s="5"/>
      <c r="J202" s="5"/>
      <c r="K202" s="5"/>
      <c r="L202" s="5"/>
      <c r="M202" s="5"/>
      <c r="N202" s="5"/>
      <c r="O202" s="13"/>
    </row>
    <row r="203" spans="1:15" ht="14.4" customHeight="1">
      <c r="A203" s="1016"/>
      <c r="B203" s="1017"/>
      <c r="C203" s="1017"/>
      <c r="D203" s="1017"/>
      <c r="E203" s="1017"/>
      <c r="F203" s="1017"/>
      <c r="G203" s="1017"/>
      <c r="H203" s="1018"/>
      <c r="I203" s="5"/>
      <c r="J203" s="5"/>
      <c r="K203" s="5"/>
      <c r="L203" s="5"/>
      <c r="M203" s="5"/>
      <c r="N203" s="5"/>
      <c r="O203" s="13"/>
    </row>
    <row r="204" spans="1:15" ht="14.4" customHeight="1">
      <c r="A204" s="1016"/>
      <c r="B204" s="1017"/>
      <c r="C204" s="1017"/>
      <c r="D204" s="1017"/>
      <c r="E204" s="1017"/>
      <c r="F204" s="1017"/>
      <c r="G204" s="1017"/>
      <c r="H204" s="1018"/>
      <c r="I204" s="5"/>
      <c r="J204" s="5"/>
      <c r="K204" s="5"/>
      <c r="L204" s="5"/>
      <c r="M204" s="5"/>
      <c r="N204" s="5"/>
      <c r="O204" s="13"/>
    </row>
    <row r="205" spans="1:15" ht="14.4" customHeight="1" thickBot="1">
      <c r="A205" s="1019"/>
      <c r="B205" s="1020"/>
      <c r="C205" s="1020"/>
      <c r="D205" s="1020"/>
      <c r="E205" s="1020"/>
      <c r="F205" s="1020"/>
      <c r="G205" s="1020"/>
      <c r="H205" s="1021"/>
      <c r="I205" s="5"/>
      <c r="J205" s="5"/>
      <c r="K205" s="5"/>
      <c r="L205" s="5"/>
      <c r="M205" s="5"/>
      <c r="N205" s="5"/>
      <c r="O205" s="13"/>
    </row>
    <row r="206" spans="1:15" ht="14.4" customHeight="1" thickBot="1">
      <c r="A206" s="264" t="s">
        <v>5</v>
      </c>
      <c r="B206" s="265"/>
      <c r="C206" s="265"/>
      <c r="D206" s="265"/>
      <c r="E206" s="265"/>
      <c r="F206" s="265"/>
      <c r="G206" s="266"/>
      <c r="H206" s="267"/>
      <c r="I206" s="5"/>
      <c r="J206" s="5"/>
      <c r="K206" s="5"/>
      <c r="L206" s="5"/>
      <c r="M206" s="5"/>
      <c r="N206" s="5"/>
      <c r="O206" s="13"/>
    </row>
    <row r="207" spans="1:15">
      <c r="A207" s="1023" t="s">
        <v>222</v>
      </c>
      <c r="B207" s="1024"/>
      <c r="C207" s="1024"/>
      <c r="D207" s="1024"/>
      <c r="E207" s="1024"/>
      <c r="F207" s="1024"/>
      <c r="G207" s="1024"/>
      <c r="H207" s="1025"/>
      <c r="I207" s="5"/>
      <c r="J207" s="5"/>
      <c r="K207" s="5"/>
      <c r="L207" s="5"/>
      <c r="M207" s="5"/>
      <c r="N207" s="5"/>
      <c r="O207" s="13"/>
    </row>
    <row r="208" spans="1:15">
      <c r="A208" s="168" t="s">
        <v>249</v>
      </c>
      <c r="B208" s="140"/>
      <c r="C208" s="140"/>
      <c r="D208" s="140"/>
      <c r="E208" s="169" t="s">
        <v>251</v>
      </c>
      <c r="F208" s="288"/>
      <c r="G208" s="286"/>
      <c r="H208" s="287"/>
      <c r="I208" s="5"/>
      <c r="J208" s="5"/>
      <c r="K208" s="5"/>
      <c r="L208" s="5"/>
      <c r="M208" s="5"/>
      <c r="N208" s="5"/>
      <c r="O208" s="13"/>
    </row>
    <row r="209" spans="1:15">
      <c r="A209" s="323" t="s">
        <v>223</v>
      </c>
      <c r="B209" s="140"/>
      <c r="C209" s="289">
        <v>20000</v>
      </c>
      <c r="D209" s="77"/>
      <c r="E209" s="289">
        <v>15000</v>
      </c>
      <c r="F209" s="77"/>
      <c r="G209" s="286"/>
      <c r="H209" s="287"/>
      <c r="I209" s="5"/>
      <c r="J209" s="5"/>
      <c r="K209" s="5"/>
      <c r="L209" s="5"/>
      <c r="M209" s="5"/>
      <c r="N209" s="5"/>
      <c r="O209" s="13"/>
    </row>
    <row r="210" spans="1:15">
      <c r="A210" s="323"/>
      <c r="B210" s="661" t="s">
        <v>215</v>
      </c>
      <c r="C210" s="1026" t="s">
        <v>246</v>
      </c>
      <c r="D210" s="1026"/>
      <c r="E210" s="1026"/>
      <c r="F210" s="1026"/>
      <c r="G210" s="286"/>
      <c r="H210" s="287"/>
      <c r="I210" s="5"/>
      <c r="J210" s="5"/>
      <c r="K210" s="5"/>
      <c r="L210" s="5"/>
      <c r="M210" s="5"/>
      <c r="N210" s="5"/>
      <c r="O210" s="13"/>
    </row>
    <row r="211" spans="1:15">
      <c r="A211" s="152"/>
      <c r="B211" s="661">
        <v>0</v>
      </c>
      <c r="C211" s="325"/>
      <c r="D211" s="326">
        <v>20000</v>
      </c>
      <c r="E211" s="326"/>
      <c r="F211" s="326">
        <v>15000</v>
      </c>
      <c r="G211" s="140"/>
      <c r="H211" s="143"/>
      <c r="I211" s="5"/>
      <c r="J211" s="5"/>
      <c r="K211" s="5"/>
      <c r="L211" s="5"/>
      <c r="M211" s="5"/>
      <c r="N211" s="5"/>
      <c r="O211" s="13"/>
    </row>
    <row r="212" spans="1:15">
      <c r="A212" s="152"/>
      <c r="B212" s="661">
        <v>1</v>
      </c>
      <c r="C212" s="327" t="s">
        <v>224</v>
      </c>
      <c r="D212" s="328">
        <f>1500/(1+5/100)^1</f>
        <v>1428.5714285714284</v>
      </c>
      <c r="E212" s="327" t="s">
        <v>236</v>
      </c>
      <c r="F212" s="328">
        <f>2250/(1+5/100)^1</f>
        <v>2142.8571428571427</v>
      </c>
      <c r="G212" s="140"/>
      <c r="H212" s="143"/>
      <c r="I212" s="5"/>
      <c r="J212" s="5"/>
      <c r="K212" s="5"/>
      <c r="L212" s="5"/>
      <c r="M212" s="5"/>
      <c r="N212" s="5"/>
      <c r="O212" s="13"/>
    </row>
    <row r="213" spans="1:15">
      <c r="A213" s="152"/>
      <c r="B213" s="661">
        <v>2</v>
      </c>
      <c r="C213" s="327" t="s">
        <v>225</v>
      </c>
      <c r="D213" s="328">
        <f>1500/(1+5/100)^2</f>
        <v>1360.5442176870747</v>
      </c>
      <c r="E213" s="327" t="s">
        <v>237</v>
      </c>
      <c r="F213" s="328">
        <f>2250/(1+5/100)^2</f>
        <v>2040.8163265306123</v>
      </c>
      <c r="G213" s="140"/>
      <c r="H213" s="143"/>
      <c r="I213" s="5"/>
      <c r="J213" s="5"/>
      <c r="K213" s="5"/>
      <c r="L213" s="5"/>
      <c r="M213" s="5"/>
      <c r="N213" s="5"/>
      <c r="O213" s="13"/>
    </row>
    <row r="214" spans="1:15">
      <c r="A214" s="152"/>
      <c r="B214" s="661">
        <v>3</v>
      </c>
      <c r="C214" s="327" t="s">
        <v>226</v>
      </c>
      <c r="D214" s="328">
        <f>1500/(1+5/100)^3</f>
        <v>1295.756397797214</v>
      </c>
      <c r="E214" s="327" t="s">
        <v>238</v>
      </c>
      <c r="F214" s="328">
        <f>2250/(1+5/100)^3</f>
        <v>1943.6345966958211</v>
      </c>
      <c r="G214" s="140"/>
      <c r="H214" s="143"/>
      <c r="I214" s="5"/>
      <c r="J214" s="5"/>
      <c r="K214" s="5"/>
      <c r="L214" s="5"/>
      <c r="M214" s="5"/>
      <c r="N214" s="5"/>
      <c r="O214" s="13"/>
    </row>
    <row r="215" spans="1:15">
      <c r="A215" s="152"/>
      <c r="B215" s="661">
        <v>4</v>
      </c>
      <c r="C215" s="327" t="s">
        <v>227</v>
      </c>
      <c r="D215" s="328">
        <f>1500/(1+5/100)^4</f>
        <v>1234.0537121878231</v>
      </c>
      <c r="E215" s="327" t="s">
        <v>239</v>
      </c>
      <c r="F215" s="328">
        <f>2250/(1+5/100)^4</f>
        <v>1851.0805682817345</v>
      </c>
      <c r="G215" s="140"/>
      <c r="H215" s="143"/>
      <c r="I215" s="5"/>
      <c r="J215" s="5"/>
      <c r="K215" s="5"/>
      <c r="L215" s="5"/>
      <c r="M215" s="5"/>
      <c r="N215" s="5"/>
      <c r="O215" s="13"/>
    </row>
    <row r="216" spans="1:15">
      <c r="A216" s="21"/>
      <c r="B216" s="661">
        <v>5</v>
      </c>
      <c r="C216" s="327" t="s">
        <v>228</v>
      </c>
      <c r="D216" s="328">
        <f>1500/(1+5/100)^5</f>
        <v>1175.2892497026885</v>
      </c>
      <c r="E216" s="327" t="s">
        <v>240</v>
      </c>
      <c r="F216" s="328">
        <f>2250/(1+5/100)^5</f>
        <v>1762.9338745540326</v>
      </c>
      <c r="G216" s="140"/>
      <c r="H216" s="13"/>
      <c r="I216" s="5"/>
      <c r="J216" s="5"/>
      <c r="K216" s="5"/>
      <c r="L216" s="5"/>
      <c r="M216" s="5"/>
      <c r="N216" s="5"/>
      <c r="O216" s="13"/>
    </row>
    <row r="217" spans="1:15">
      <c r="A217" s="21"/>
      <c r="B217" s="661">
        <v>6</v>
      </c>
      <c r="C217" s="327" t="s">
        <v>229</v>
      </c>
      <c r="D217" s="328">
        <f>1500/(1+5/100)^6</f>
        <v>1119.3230949549416</v>
      </c>
      <c r="E217" s="327" t="s">
        <v>241</v>
      </c>
      <c r="F217" s="328">
        <f>2250/(1+5/100)^6</f>
        <v>1678.9846424324123</v>
      </c>
      <c r="G217" s="140"/>
      <c r="H217" s="13"/>
      <c r="I217" s="5"/>
      <c r="J217" s="5"/>
      <c r="K217" s="5"/>
      <c r="L217" s="5"/>
      <c r="M217" s="5"/>
      <c r="N217" s="5"/>
      <c r="O217" s="13"/>
    </row>
    <row r="218" spans="1:15">
      <c r="A218" s="21"/>
      <c r="B218" s="661">
        <v>7</v>
      </c>
      <c r="C218" s="327" t="s">
        <v>230</v>
      </c>
      <c r="D218" s="328">
        <f>1500/(1+5/100)^7</f>
        <v>1066.0219951951822</v>
      </c>
      <c r="E218" s="327" t="s">
        <v>242</v>
      </c>
      <c r="F218" s="328">
        <f>2250/(1+5/100)^7</f>
        <v>1599.0329927927733</v>
      </c>
      <c r="G218" s="140"/>
      <c r="H218" s="13"/>
      <c r="I218" s="5"/>
      <c r="J218" s="5"/>
      <c r="K218" s="5"/>
      <c r="L218" s="5"/>
      <c r="M218" s="5"/>
      <c r="N218" s="5"/>
      <c r="O218" s="13"/>
    </row>
    <row r="219" spans="1:15">
      <c r="A219" s="21"/>
      <c r="B219" s="661">
        <v>8</v>
      </c>
      <c r="C219" s="327" t="s">
        <v>231</v>
      </c>
      <c r="D219" s="328">
        <f>1500/(1+5/100)^8</f>
        <v>1015.2590430430307</v>
      </c>
      <c r="E219" s="327" t="s">
        <v>243</v>
      </c>
      <c r="F219" s="328">
        <f>2250/(1+5/100)^8</f>
        <v>1522.8885645645462</v>
      </c>
      <c r="G219" s="140"/>
      <c r="H219" s="13"/>
      <c r="I219" s="5"/>
      <c r="J219" s="5"/>
      <c r="K219" s="5"/>
      <c r="L219" s="5"/>
      <c r="M219" s="5"/>
      <c r="N219" s="5"/>
      <c r="O219" s="13"/>
    </row>
    <row r="220" spans="1:15">
      <c r="A220" s="21"/>
      <c r="B220" s="661">
        <v>9</v>
      </c>
      <c r="C220" s="327" t="s">
        <v>232</v>
      </c>
      <c r="D220" s="328">
        <f>1500/(1+5/100)^9</f>
        <v>966.91337432669593</v>
      </c>
      <c r="E220" s="327" t="s">
        <v>244</v>
      </c>
      <c r="F220" s="328">
        <f>2250/(1+5/100)^9</f>
        <v>1450.3700614900438</v>
      </c>
      <c r="G220" s="140"/>
      <c r="H220" s="13"/>
      <c r="I220" s="5"/>
      <c r="J220" s="5"/>
      <c r="K220" s="5"/>
      <c r="L220" s="5"/>
      <c r="M220" s="5"/>
      <c r="N220" s="5"/>
      <c r="O220" s="13"/>
    </row>
    <row r="221" spans="1:15">
      <c r="A221" s="21"/>
      <c r="B221" s="661">
        <v>10</v>
      </c>
      <c r="C221" s="327" t="s">
        <v>233</v>
      </c>
      <c r="D221" s="328">
        <f>1500/(1+5/100)^10</f>
        <v>920.86988031113901</v>
      </c>
      <c r="E221" s="327" t="s">
        <v>245</v>
      </c>
      <c r="F221" s="328">
        <f>2250/(1+5/100)^10</f>
        <v>1381.3048204667084</v>
      </c>
      <c r="G221" s="140"/>
      <c r="H221" s="13"/>
      <c r="I221" s="5"/>
      <c r="J221" s="5"/>
      <c r="K221" s="5"/>
      <c r="L221" s="5"/>
      <c r="M221" s="5"/>
      <c r="N221" s="5"/>
      <c r="O221" s="13"/>
    </row>
    <row r="222" spans="1:15" ht="15" thickBot="1">
      <c r="A222" s="324"/>
      <c r="B222" s="329" t="s">
        <v>247</v>
      </c>
      <c r="C222" s="330" t="s">
        <v>248</v>
      </c>
      <c r="D222" s="330">
        <f>SUM(D211:D221)</f>
        <v>31582.602393777219</v>
      </c>
      <c r="E222" s="330" t="s">
        <v>250</v>
      </c>
      <c r="F222" s="330">
        <f>SUM(F211:F221)</f>
        <v>32373.903590665832</v>
      </c>
      <c r="G222" s="14"/>
      <c r="H222" s="15"/>
      <c r="I222" s="5"/>
      <c r="J222" s="5"/>
      <c r="K222" s="5"/>
      <c r="L222" s="5"/>
      <c r="M222" s="5"/>
      <c r="N222" s="5"/>
      <c r="O222" s="13"/>
    </row>
    <row r="223" spans="1:15" ht="15" thickBot="1">
      <c r="A223" s="21"/>
      <c r="B223" s="5"/>
      <c r="C223" s="5"/>
      <c r="D223" s="5"/>
      <c r="E223" s="5"/>
      <c r="F223" s="5"/>
      <c r="G223" s="5"/>
      <c r="H223" s="8"/>
      <c r="I223" s="5"/>
      <c r="J223" s="5"/>
      <c r="K223" s="5"/>
      <c r="L223" s="5"/>
      <c r="M223" s="5"/>
      <c r="N223" s="5"/>
      <c r="O223" s="13"/>
    </row>
    <row r="224" spans="1:15">
      <c r="A224" s="1013" t="s">
        <v>650</v>
      </c>
      <c r="B224" s="1014"/>
      <c r="C224" s="1014"/>
      <c r="D224" s="1014"/>
      <c r="E224" s="1014"/>
      <c r="F224" s="1014"/>
      <c r="G224" s="1014"/>
      <c r="H224" s="1015"/>
      <c r="I224" s="5"/>
      <c r="J224" s="5"/>
      <c r="K224" s="5"/>
      <c r="L224" s="5"/>
      <c r="M224" s="5"/>
      <c r="N224" s="5"/>
      <c r="O224" s="13"/>
    </row>
    <row r="225" spans="1:18">
      <c r="A225" s="1016"/>
      <c r="B225" s="1017"/>
      <c r="C225" s="1017"/>
      <c r="D225" s="1017"/>
      <c r="E225" s="1017"/>
      <c r="F225" s="1017"/>
      <c r="G225" s="1017"/>
      <c r="H225" s="1018"/>
      <c r="I225" s="5"/>
      <c r="J225" s="5"/>
      <c r="K225" s="5"/>
      <c r="L225" s="5"/>
      <c r="M225" s="5"/>
      <c r="N225" s="5"/>
      <c r="O225" s="13"/>
    </row>
    <row r="226" spans="1:18">
      <c r="A226" s="1016"/>
      <c r="B226" s="1017"/>
      <c r="C226" s="1017"/>
      <c r="D226" s="1017"/>
      <c r="E226" s="1017"/>
      <c r="F226" s="1017"/>
      <c r="G226" s="1017"/>
      <c r="H226" s="1018"/>
      <c r="I226" s="5"/>
      <c r="J226" s="5"/>
      <c r="K226" s="5"/>
      <c r="L226" s="5"/>
      <c r="M226" s="5"/>
      <c r="N226" s="5"/>
      <c r="O226" s="13"/>
    </row>
    <row r="227" spans="1:18">
      <c r="A227" s="1016"/>
      <c r="B227" s="1017"/>
      <c r="C227" s="1017"/>
      <c r="D227" s="1017"/>
      <c r="E227" s="1017"/>
      <c r="F227" s="1017"/>
      <c r="G227" s="1017"/>
      <c r="H227" s="1018"/>
      <c r="I227" s="5"/>
      <c r="J227" s="5"/>
      <c r="K227" s="5"/>
      <c r="L227" s="5"/>
      <c r="M227" s="5"/>
      <c r="N227" s="5"/>
      <c r="O227" s="13"/>
    </row>
    <row r="228" spans="1:18">
      <c r="A228" s="1016"/>
      <c r="B228" s="1017"/>
      <c r="C228" s="1017"/>
      <c r="D228" s="1017"/>
      <c r="E228" s="1017"/>
      <c r="F228" s="1017"/>
      <c r="G228" s="1017"/>
      <c r="H228" s="1018"/>
      <c r="I228" s="5"/>
      <c r="J228" s="5"/>
      <c r="K228" s="5"/>
      <c r="L228" s="5"/>
      <c r="M228" s="5"/>
      <c r="N228" s="5"/>
      <c r="O228" s="13"/>
    </row>
    <row r="229" spans="1:18">
      <c r="A229" s="1016"/>
      <c r="B229" s="1017"/>
      <c r="C229" s="1017"/>
      <c r="D229" s="1017"/>
      <c r="E229" s="1017"/>
      <c r="F229" s="1017"/>
      <c r="G229" s="1017"/>
      <c r="H229" s="1018"/>
      <c r="I229" s="5"/>
      <c r="J229" s="5"/>
      <c r="K229" s="5"/>
      <c r="L229" s="5"/>
      <c r="M229" s="5"/>
      <c r="N229" s="5"/>
      <c r="O229" s="13"/>
    </row>
    <row r="230" spans="1:18">
      <c r="A230" s="1016"/>
      <c r="B230" s="1017"/>
      <c r="C230" s="1017"/>
      <c r="D230" s="1017"/>
      <c r="E230" s="1017"/>
      <c r="F230" s="1017"/>
      <c r="G230" s="1017"/>
      <c r="H230" s="1018"/>
      <c r="I230" s="5"/>
      <c r="J230" s="5"/>
      <c r="K230" s="5"/>
      <c r="L230" s="5"/>
      <c r="M230" s="5"/>
      <c r="N230" s="5"/>
      <c r="O230" s="13"/>
    </row>
    <row r="231" spans="1:18" ht="15" thickBot="1">
      <c r="A231" s="1019"/>
      <c r="B231" s="1020"/>
      <c r="C231" s="1020"/>
      <c r="D231" s="1020"/>
      <c r="E231" s="1020"/>
      <c r="F231" s="1020"/>
      <c r="G231" s="1020"/>
      <c r="H231" s="1021"/>
      <c r="I231" s="5"/>
      <c r="J231" s="5"/>
      <c r="K231" s="5"/>
      <c r="L231" s="5"/>
      <c r="M231" s="5"/>
      <c r="N231" s="5"/>
      <c r="O231" s="13"/>
    </row>
    <row r="232" spans="1:18" ht="16.2" thickBot="1">
      <c r="A232" s="264" t="s">
        <v>5</v>
      </c>
      <c r="B232" s="265"/>
      <c r="C232" s="265"/>
      <c r="D232" s="265"/>
      <c r="E232" s="265"/>
      <c r="F232" s="265"/>
      <c r="G232" s="266"/>
      <c r="H232" s="267"/>
      <c r="I232" s="5"/>
      <c r="J232" s="5"/>
      <c r="K232" s="5"/>
      <c r="L232" s="5"/>
      <c r="M232" s="5"/>
      <c r="N232" s="5"/>
      <c r="O232" s="13"/>
    </row>
    <row r="233" spans="1:18">
      <c r="A233" s="174" t="s">
        <v>281</v>
      </c>
      <c r="B233" s="175"/>
      <c r="C233" s="175"/>
      <c r="D233" s="175"/>
      <c r="E233" s="175"/>
      <c r="F233" s="175"/>
      <c r="G233" s="175"/>
      <c r="H233" s="161"/>
      <c r="I233" s="5"/>
      <c r="J233" s="5"/>
      <c r="K233" s="5"/>
      <c r="L233" s="5"/>
      <c r="M233" s="5"/>
      <c r="N233" s="5"/>
      <c r="O233" s="13"/>
    </row>
    <row r="234" spans="1:18">
      <c r="A234" s="152" t="s">
        <v>252</v>
      </c>
      <c r="B234" s="140"/>
      <c r="C234" s="140"/>
      <c r="D234" s="140"/>
      <c r="E234" s="140"/>
      <c r="F234" s="140"/>
      <c r="G234" s="140"/>
      <c r="H234" s="143"/>
      <c r="I234" s="5"/>
      <c r="J234" s="5"/>
      <c r="K234" s="5"/>
      <c r="L234" s="5"/>
      <c r="M234" s="5"/>
      <c r="N234" s="5"/>
      <c r="O234" s="13"/>
    </row>
    <row r="235" spans="1:18">
      <c r="A235" s="147" t="s">
        <v>254</v>
      </c>
      <c r="B235" s="176" t="s">
        <v>161</v>
      </c>
      <c r="C235" s="177">
        <f>100000*(1+0.12/4)^1-100000</f>
        <v>3000</v>
      </c>
      <c r="D235" s="148" t="s">
        <v>253</v>
      </c>
      <c r="E235" s="140"/>
      <c r="F235" s="140"/>
      <c r="G235" s="140"/>
      <c r="H235" s="143"/>
      <c r="I235" s="5"/>
      <c r="J235" s="5"/>
      <c r="K235" s="5"/>
      <c r="L235" s="5"/>
      <c r="M235" s="5"/>
      <c r="N235" s="5"/>
      <c r="O235" s="13"/>
    </row>
    <row r="236" spans="1:18" ht="15" thickBot="1">
      <c r="A236" s="155" t="s">
        <v>255</v>
      </c>
      <c r="B236" s="249" t="s">
        <v>161</v>
      </c>
      <c r="C236" s="157">
        <f>100000*(1+0.12/4)^4</f>
        <v>112550.88099999999</v>
      </c>
      <c r="D236" s="156"/>
      <c r="E236" s="158"/>
      <c r="F236" s="158"/>
      <c r="G236" s="158"/>
      <c r="H236" s="146"/>
      <c r="I236" s="5"/>
      <c r="J236" s="5"/>
      <c r="K236" s="5"/>
      <c r="L236" s="5"/>
      <c r="M236" s="5"/>
      <c r="N236" s="5"/>
      <c r="O236" s="13"/>
    </row>
    <row r="237" spans="1:18" ht="15" thickBot="1">
      <c r="A237" s="21"/>
      <c r="B237" s="5"/>
      <c r="C237" s="5"/>
      <c r="D237" s="5"/>
      <c r="E237" s="5"/>
      <c r="F237" s="5"/>
      <c r="G237" s="5"/>
      <c r="H237" s="5"/>
      <c r="I237" s="5"/>
      <c r="J237" s="5"/>
      <c r="K237" s="5"/>
      <c r="L237" s="5"/>
      <c r="M237" s="5"/>
      <c r="N237" s="5"/>
      <c r="O237" s="13"/>
    </row>
    <row r="238" spans="1:18" ht="18" customHeight="1">
      <c r="A238" s="928" t="s">
        <v>649</v>
      </c>
      <c r="B238" s="929"/>
      <c r="C238" s="929"/>
      <c r="D238" s="929"/>
      <c r="E238" s="929"/>
      <c r="F238" s="929"/>
      <c r="G238" s="929"/>
      <c r="H238" s="930"/>
      <c r="I238" s="5"/>
      <c r="J238" s="5"/>
      <c r="K238" s="5"/>
      <c r="L238" s="5"/>
      <c r="M238" s="5"/>
      <c r="N238" s="351"/>
      <c r="O238" s="683"/>
      <c r="P238" s="331"/>
      <c r="Q238" s="331"/>
      <c r="R238" s="331"/>
    </row>
    <row r="239" spans="1:18" ht="14.4" customHeight="1">
      <c r="A239" s="931"/>
      <c r="B239" s="932"/>
      <c r="C239" s="932"/>
      <c r="D239" s="932"/>
      <c r="E239" s="932"/>
      <c r="F239" s="932"/>
      <c r="G239" s="932"/>
      <c r="H239" s="933"/>
      <c r="I239" s="5"/>
      <c r="J239" s="5"/>
      <c r="K239" s="5"/>
      <c r="L239" s="5"/>
      <c r="M239" s="5"/>
      <c r="N239" s="351"/>
      <c r="O239" s="683"/>
      <c r="P239" s="331"/>
      <c r="Q239" s="331"/>
      <c r="R239" s="331"/>
    </row>
    <row r="240" spans="1:18" ht="14.4" customHeight="1">
      <c r="A240" s="931"/>
      <c r="B240" s="932"/>
      <c r="C240" s="932"/>
      <c r="D240" s="932"/>
      <c r="E240" s="932"/>
      <c r="F240" s="932"/>
      <c r="G240" s="932"/>
      <c r="H240" s="933"/>
      <c r="I240" s="5"/>
      <c r="J240" s="5"/>
      <c r="K240" s="5"/>
      <c r="L240" s="5"/>
      <c r="M240" s="5"/>
      <c r="N240" s="5"/>
      <c r="O240" s="13"/>
      <c r="R240" s="331"/>
    </row>
    <row r="241" spans="1:15" ht="15.6" customHeight="1" thickBot="1">
      <c r="A241" s="934"/>
      <c r="B241" s="935"/>
      <c r="C241" s="935"/>
      <c r="D241" s="935"/>
      <c r="E241" s="935"/>
      <c r="F241" s="935"/>
      <c r="G241" s="935"/>
      <c r="H241" s="936"/>
      <c r="I241" s="5"/>
      <c r="J241" s="5"/>
      <c r="K241" s="5"/>
      <c r="L241" s="5"/>
      <c r="M241" s="5"/>
      <c r="N241" s="5"/>
      <c r="O241" s="13"/>
    </row>
    <row r="242" spans="1:15" ht="14.4" customHeight="1" thickBot="1">
      <c r="A242" s="264" t="s">
        <v>5</v>
      </c>
      <c r="B242" s="265"/>
      <c r="C242" s="265"/>
      <c r="D242" s="265"/>
      <c r="E242" s="265"/>
      <c r="F242" s="265"/>
      <c r="G242" s="266"/>
      <c r="H242" s="267"/>
      <c r="I242" s="5"/>
      <c r="J242" s="5"/>
      <c r="K242" s="5"/>
      <c r="L242" s="5"/>
      <c r="M242" s="5"/>
      <c r="N242" s="5"/>
      <c r="O242" s="13"/>
    </row>
    <row r="243" spans="1:15">
      <c r="A243" s="285" t="s">
        <v>256</v>
      </c>
      <c r="B243" s="11"/>
      <c r="C243" s="11"/>
      <c r="D243" s="11"/>
      <c r="E243" s="11"/>
      <c r="F243" s="11"/>
      <c r="G243" s="11"/>
      <c r="H243" s="12"/>
      <c r="I243" s="5"/>
      <c r="J243" s="5"/>
      <c r="K243" s="5"/>
      <c r="L243" s="5"/>
      <c r="M243" s="5"/>
      <c r="N243" s="5"/>
      <c r="O243" s="13"/>
    </row>
    <row r="244" spans="1:15">
      <c r="A244" s="345" t="s">
        <v>204</v>
      </c>
      <c r="B244" s="344" t="s">
        <v>264</v>
      </c>
      <c r="C244" s="341" t="s">
        <v>258</v>
      </c>
      <c r="D244" s="338" t="s">
        <v>259</v>
      </c>
      <c r="E244" s="338" t="s">
        <v>260</v>
      </c>
      <c r="F244" s="338" t="s">
        <v>261</v>
      </c>
      <c r="G244" s="338" t="s">
        <v>262</v>
      </c>
      <c r="H244" s="346" t="s">
        <v>263</v>
      </c>
      <c r="I244" s="5"/>
      <c r="J244" s="5"/>
      <c r="K244" s="5"/>
      <c r="L244" s="5"/>
      <c r="M244" s="5"/>
      <c r="N244" s="5"/>
      <c r="O244" s="13"/>
    </row>
    <row r="245" spans="1:15">
      <c r="A245" s="347">
        <v>500000</v>
      </c>
      <c r="B245" s="337">
        <v>5.5</v>
      </c>
      <c r="C245" s="342">
        <f>A245*(1+B245/100)-A245</f>
        <v>27500</v>
      </c>
      <c r="D245" s="343">
        <f>($A$245-100000)*(1+B245/100)-($A$245-100000)</f>
        <v>22000</v>
      </c>
      <c r="E245" s="343">
        <f>($A$245-200000)*(1+$B$245/100)-($A$245-200000)</f>
        <v>16500</v>
      </c>
      <c r="F245" s="343">
        <f>($A$245-300000)*(1+$B$245/100)-($A$245-300000)</f>
        <v>11000</v>
      </c>
      <c r="G245" s="343">
        <f>($A$245-400000)*(1+$B$245/100)-($A$245-400000)</f>
        <v>5500</v>
      </c>
      <c r="H245" s="348">
        <f>G245+F245+E245+D245+C245</f>
        <v>82500</v>
      </c>
      <c r="I245" s="5"/>
      <c r="J245" s="5"/>
      <c r="K245" s="5"/>
      <c r="L245" s="5"/>
      <c r="M245" s="5"/>
      <c r="N245" s="5"/>
      <c r="O245" s="13"/>
    </row>
    <row r="246" spans="1:15">
      <c r="A246" s="349"/>
      <c r="B246" s="339" t="s">
        <v>257</v>
      </c>
      <c r="C246" s="340">
        <v>127500</v>
      </c>
      <c r="D246" s="340">
        <f>100000+D245</f>
        <v>122000</v>
      </c>
      <c r="E246" s="340">
        <f>100000+E245</f>
        <v>116500</v>
      </c>
      <c r="F246" s="340">
        <f>F245+100000</f>
        <v>111000</v>
      </c>
      <c r="G246" s="340">
        <f>G245+100000</f>
        <v>105500</v>
      </c>
      <c r="H246" s="350"/>
      <c r="I246" s="5"/>
      <c r="J246" s="5"/>
      <c r="K246" s="5"/>
      <c r="L246" s="5"/>
      <c r="M246" s="5"/>
      <c r="N246" s="5"/>
      <c r="O246" s="13"/>
    </row>
    <row r="247" spans="1:15">
      <c r="A247" s="16" t="s">
        <v>273</v>
      </c>
      <c r="B247" s="5"/>
      <c r="C247" s="5"/>
      <c r="D247" s="5"/>
      <c r="E247" s="5"/>
      <c r="F247" s="5"/>
      <c r="G247" s="351"/>
      <c r="H247" s="13"/>
      <c r="I247" s="5"/>
      <c r="J247" s="5"/>
      <c r="K247" s="5"/>
      <c r="L247" s="5"/>
      <c r="M247" s="5"/>
      <c r="N247" s="5"/>
      <c r="O247" s="13"/>
    </row>
    <row r="248" spans="1:15">
      <c r="A248" s="200" t="s">
        <v>149</v>
      </c>
      <c r="B248" s="201" t="s">
        <v>204</v>
      </c>
      <c r="C248" s="201" t="s">
        <v>264</v>
      </c>
      <c r="D248" s="354" t="s">
        <v>258</v>
      </c>
      <c r="E248" s="354" t="s">
        <v>259</v>
      </c>
      <c r="F248" s="354" t="s">
        <v>260</v>
      </c>
      <c r="G248" s="354" t="s">
        <v>261</v>
      </c>
      <c r="H248" s="355" t="s">
        <v>262</v>
      </c>
      <c r="I248" s="5"/>
      <c r="J248" s="5"/>
      <c r="K248" s="5"/>
      <c r="L248" s="5"/>
      <c r="M248" s="5"/>
      <c r="N248" s="5"/>
      <c r="O248" s="13"/>
    </row>
    <row r="249" spans="1:15">
      <c r="A249" s="356" t="s">
        <v>265</v>
      </c>
      <c r="B249" s="357">
        <v>100000</v>
      </c>
      <c r="C249" s="358">
        <v>5</v>
      </c>
      <c r="D249" s="357">
        <f>B249*(1+C249/100)-B249</f>
        <v>5000</v>
      </c>
      <c r="E249" s="359"/>
      <c r="F249" s="140"/>
      <c r="G249" s="140"/>
      <c r="H249" s="143"/>
      <c r="I249" s="5"/>
      <c r="J249" s="5"/>
      <c r="K249" s="5"/>
      <c r="L249" s="5"/>
      <c r="M249" s="5"/>
      <c r="N249" s="5"/>
      <c r="O249" s="13"/>
    </row>
    <row r="250" spans="1:15">
      <c r="A250" s="356" t="s">
        <v>266</v>
      </c>
      <c r="B250" s="357">
        <v>100000</v>
      </c>
      <c r="C250" s="358">
        <v>5.25</v>
      </c>
      <c r="D250" s="357">
        <f t="shared" ref="D250:D253" si="0">B250*(1+C250/100)-B250</f>
        <v>5250</v>
      </c>
      <c r="E250" s="360">
        <f>B250*(1+C250/100)-B250</f>
        <v>5250</v>
      </c>
      <c r="F250" s="361"/>
      <c r="G250" s="140"/>
      <c r="H250" s="143"/>
      <c r="I250" s="5"/>
      <c r="J250" s="5"/>
      <c r="K250" s="5"/>
      <c r="L250" s="5"/>
      <c r="M250" s="5"/>
      <c r="N250" s="5"/>
      <c r="O250" s="13"/>
    </row>
    <row r="251" spans="1:15">
      <c r="A251" s="356" t="s">
        <v>267</v>
      </c>
      <c r="B251" s="357">
        <v>100000</v>
      </c>
      <c r="C251" s="358">
        <v>5.5</v>
      </c>
      <c r="D251" s="357">
        <f t="shared" si="0"/>
        <v>5500</v>
      </c>
      <c r="E251" s="360">
        <f t="shared" ref="E251:E253" si="1">B251*(1+C251/100)-B251</f>
        <v>5500</v>
      </c>
      <c r="F251" s="357">
        <f>B251*(1+C251/100)-B251</f>
        <v>5500</v>
      </c>
      <c r="G251" s="140"/>
      <c r="H251" s="143"/>
      <c r="I251" s="5"/>
      <c r="J251" s="5"/>
      <c r="K251" s="5"/>
      <c r="L251" s="5"/>
      <c r="M251" s="5"/>
      <c r="N251" s="5"/>
      <c r="O251" s="13"/>
    </row>
    <row r="252" spans="1:15">
      <c r="A252" s="356" t="s">
        <v>268</v>
      </c>
      <c r="B252" s="357">
        <v>100000</v>
      </c>
      <c r="C252" s="358">
        <v>5.75</v>
      </c>
      <c r="D252" s="357">
        <f t="shared" si="0"/>
        <v>5750.0000000000146</v>
      </c>
      <c r="E252" s="360">
        <f t="shared" si="1"/>
        <v>5750.0000000000146</v>
      </c>
      <c r="F252" s="357">
        <f t="shared" ref="F252:F253" si="2">B252*(1+C252/100)-B252</f>
        <v>5750.0000000000146</v>
      </c>
      <c r="G252" s="357">
        <f>B252*(1+C252/100)-B252</f>
        <v>5750.0000000000146</v>
      </c>
      <c r="H252" s="362"/>
      <c r="I252" s="5"/>
      <c r="J252" s="5"/>
      <c r="K252" s="5"/>
      <c r="L252" s="5"/>
      <c r="M252" s="5"/>
      <c r="N252" s="5"/>
      <c r="O252" s="13"/>
    </row>
    <row r="253" spans="1:15">
      <c r="A253" s="356" t="s">
        <v>269</v>
      </c>
      <c r="B253" s="357">
        <v>100000</v>
      </c>
      <c r="C253" s="358">
        <v>6</v>
      </c>
      <c r="D253" s="357">
        <f t="shared" si="0"/>
        <v>6000</v>
      </c>
      <c r="E253" s="360">
        <f t="shared" si="1"/>
        <v>6000</v>
      </c>
      <c r="F253" s="357">
        <f t="shared" si="2"/>
        <v>6000</v>
      </c>
      <c r="G253" s="357">
        <f>B253*(1+C253/100)-B253</f>
        <v>6000</v>
      </c>
      <c r="H253" s="363">
        <f>B253*(1+C253/100)-B253</f>
        <v>6000</v>
      </c>
      <c r="I253" s="5"/>
      <c r="J253" s="646"/>
      <c r="K253" s="5"/>
      <c r="L253" s="5"/>
      <c r="M253" s="5"/>
      <c r="N253" s="5"/>
      <c r="O253" s="13"/>
    </row>
    <row r="254" spans="1:15">
      <c r="A254" s="152"/>
      <c r="B254" s="140"/>
      <c r="C254" s="140"/>
      <c r="D254" s="357">
        <f>SUM(D249:D253)</f>
        <v>27500.000000000015</v>
      </c>
      <c r="E254" s="357">
        <f>SUM(E249:E253)</f>
        <v>22500.000000000015</v>
      </c>
      <c r="F254" s="357">
        <f t="shared" ref="F254:H254" si="3">SUM(F249:F253)</f>
        <v>17250.000000000015</v>
      </c>
      <c r="G254" s="357">
        <f t="shared" si="3"/>
        <v>11750.000000000015</v>
      </c>
      <c r="H254" s="363">
        <f t="shared" si="3"/>
        <v>6000</v>
      </c>
      <c r="I254" s="5"/>
      <c r="J254" s="5"/>
      <c r="K254" s="5"/>
      <c r="L254" s="5"/>
      <c r="M254" s="5"/>
      <c r="N254" s="5"/>
      <c r="O254" s="13"/>
    </row>
    <row r="255" spans="1:15">
      <c r="A255" s="152"/>
      <c r="B255" s="140"/>
      <c r="C255" s="140"/>
      <c r="D255" s="140"/>
      <c r="E255" s="140"/>
      <c r="F255" s="140"/>
      <c r="G255" s="364" t="s">
        <v>263</v>
      </c>
      <c r="H255" s="365">
        <f>H254+G254+F254+E254+D254</f>
        <v>85000.000000000058</v>
      </c>
      <c r="I255" s="5"/>
      <c r="J255" s="5"/>
      <c r="K255" s="5"/>
      <c r="L255" s="5"/>
      <c r="M255" s="5"/>
      <c r="N255" s="5"/>
      <c r="O255" s="13"/>
    </row>
    <row r="256" spans="1:15" ht="15" thickBot="1">
      <c r="A256" s="259"/>
      <c r="B256" s="366" t="s">
        <v>272</v>
      </c>
      <c r="C256" s="366"/>
      <c r="D256" s="367" t="s">
        <v>270</v>
      </c>
      <c r="E256" s="367" t="s">
        <v>266</v>
      </c>
      <c r="F256" s="367" t="s">
        <v>267</v>
      </c>
      <c r="G256" s="367" t="s">
        <v>268</v>
      </c>
      <c r="H256" s="368" t="s">
        <v>271</v>
      </c>
      <c r="I256" s="5"/>
      <c r="J256" s="5"/>
      <c r="K256" s="5"/>
      <c r="L256" s="5"/>
      <c r="M256" s="5"/>
      <c r="N256" s="5"/>
      <c r="O256" s="13"/>
    </row>
    <row r="257" spans="1:15" ht="15" thickBot="1">
      <c r="A257" s="152"/>
      <c r="B257" s="140"/>
      <c r="C257" s="140"/>
      <c r="D257" s="140"/>
      <c r="E257" s="140"/>
      <c r="F257" s="140"/>
      <c r="G257" s="140"/>
      <c r="H257" s="140"/>
      <c r="I257" s="5"/>
      <c r="J257" s="5"/>
      <c r="K257" s="5"/>
      <c r="L257" s="5"/>
      <c r="M257" s="5"/>
      <c r="N257" s="5"/>
      <c r="O257" s="13"/>
    </row>
    <row r="258" spans="1:15" ht="14.4" customHeight="1">
      <c r="A258" s="928" t="s">
        <v>759</v>
      </c>
      <c r="B258" s="929"/>
      <c r="C258" s="929"/>
      <c r="D258" s="929"/>
      <c r="E258" s="929"/>
      <c r="F258" s="929"/>
      <c r="G258" s="929"/>
      <c r="H258" s="930"/>
      <c r="I258" s="5"/>
      <c r="J258" s="5"/>
      <c r="K258" s="5"/>
      <c r="L258" s="5"/>
      <c r="M258" s="5"/>
      <c r="N258" s="5"/>
      <c r="O258" s="13"/>
    </row>
    <row r="259" spans="1:15" ht="14.4" customHeight="1">
      <c r="A259" s="931"/>
      <c r="B259" s="932"/>
      <c r="C259" s="932"/>
      <c r="D259" s="932"/>
      <c r="E259" s="932"/>
      <c r="F259" s="932"/>
      <c r="G259" s="932"/>
      <c r="H259" s="933"/>
      <c r="I259" s="5"/>
      <c r="J259" s="5"/>
      <c r="K259" s="5"/>
      <c r="L259" s="5"/>
      <c r="M259" s="5"/>
      <c r="N259" s="5"/>
      <c r="O259" s="13"/>
    </row>
    <row r="260" spans="1:15" ht="18">
      <c r="A260" s="931"/>
      <c r="B260" s="932"/>
      <c r="C260" s="932"/>
      <c r="D260" s="932"/>
      <c r="E260" s="932"/>
      <c r="F260" s="932"/>
      <c r="G260" s="932"/>
      <c r="H260" s="933"/>
      <c r="I260" s="5"/>
      <c r="J260" s="5"/>
      <c r="K260" s="5"/>
      <c r="L260" s="5"/>
      <c r="M260" s="5"/>
      <c r="N260" s="5"/>
      <c r="O260" s="680"/>
    </row>
    <row r="261" spans="1:15" ht="18">
      <c r="A261" s="931"/>
      <c r="B261" s="932"/>
      <c r="C261" s="932"/>
      <c r="D261" s="932"/>
      <c r="E261" s="932"/>
      <c r="F261" s="932"/>
      <c r="G261" s="932"/>
      <c r="H261" s="933"/>
      <c r="I261" s="5"/>
      <c r="J261" s="5"/>
      <c r="K261" s="5"/>
      <c r="L261" s="5"/>
      <c r="M261" s="5"/>
      <c r="N261" s="5"/>
      <c r="O261" s="680"/>
    </row>
    <row r="262" spans="1:15" ht="15" thickBot="1">
      <c r="A262" s="934"/>
      <c r="B262" s="935"/>
      <c r="C262" s="935"/>
      <c r="D262" s="935"/>
      <c r="E262" s="935"/>
      <c r="F262" s="935"/>
      <c r="G262" s="935"/>
      <c r="H262" s="936"/>
      <c r="I262" s="5"/>
      <c r="J262" s="5"/>
      <c r="K262" s="5"/>
      <c r="L262" s="5"/>
      <c r="M262" s="5"/>
      <c r="N262" s="5"/>
      <c r="O262" s="13"/>
    </row>
    <row r="263" spans="1:15" ht="16.2" thickBot="1">
      <c r="A263" s="264" t="s">
        <v>5</v>
      </c>
      <c r="B263" s="265"/>
      <c r="C263" s="265"/>
      <c r="D263" s="265"/>
      <c r="E263" s="265"/>
      <c r="F263" s="265"/>
      <c r="G263" s="266"/>
      <c r="H263" s="267"/>
      <c r="I263" s="5"/>
      <c r="J263" s="5"/>
      <c r="K263" s="5"/>
      <c r="L263" s="5"/>
      <c r="M263" s="5"/>
      <c r="N263" s="5"/>
      <c r="O263" s="13"/>
    </row>
    <row r="264" spans="1:15">
      <c r="A264" s="332" t="s">
        <v>280</v>
      </c>
      <c r="B264" s="175"/>
      <c r="C264" s="175"/>
      <c r="D264" s="175"/>
      <c r="E264" s="175"/>
      <c r="F264" s="175"/>
      <c r="G264" s="175"/>
      <c r="H264" s="161"/>
      <c r="I264" s="5"/>
      <c r="J264" s="5"/>
      <c r="K264" s="5"/>
      <c r="L264" s="5"/>
      <c r="M264" s="5"/>
      <c r="N264" s="5"/>
      <c r="O264" s="13"/>
    </row>
    <row r="265" spans="1:15">
      <c r="A265" s="168" t="s">
        <v>293</v>
      </c>
      <c r="B265" s="140"/>
      <c r="C265" s="140"/>
      <c r="D265" s="140"/>
      <c r="E265" s="140"/>
      <c r="F265" s="140"/>
      <c r="G265" s="140"/>
      <c r="H265" s="143"/>
      <c r="I265" s="5"/>
      <c r="J265" s="5"/>
      <c r="K265" s="5"/>
      <c r="L265" s="5"/>
      <c r="M265" s="5"/>
      <c r="N265" s="5"/>
      <c r="O265" s="13"/>
    </row>
    <row r="266" spans="1:15">
      <c r="A266" s="168"/>
      <c r="B266" s="369" t="s">
        <v>6</v>
      </c>
      <c r="C266" s="169" t="s">
        <v>279</v>
      </c>
      <c r="D266" s="169"/>
      <c r="E266" s="169"/>
      <c r="F266" s="140"/>
      <c r="G266" s="140"/>
      <c r="H266" s="143"/>
      <c r="I266" s="5"/>
      <c r="J266" s="5"/>
      <c r="K266" s="5"/>
      <c r="L266" s="5"/>
      <c r="M266" s="5"/>
      <c r="N266" s="5"/>
      <c r="O266" s="13"/>
    </row>
    <row r="267" spans="1:15">
      <c r="A267" s="147" t="s">
        <v>274</v>
      </c>
      <c r="B267" s="148">
        <v>30</v>
      </c>
      <c r="C267" s="177">
        <f>300000*(1+0.1*B267/365)-300000</f>
        <v>2465.7534246575669</v>
      </c>
      <c r="D267" s="140"/>
      <c r="E267" s="140"/>
      <c r="F267" s="140"/>
      <c r="G267" s="140"/>
      <c r="H267" s="143"/>
      <c r="I267" s="5"/>
      <c r="J267" s="5"/>
      <c r="K267" s="5"/>
      <c r="L267" s="5"/>
      <c r="M267" s="5"/>
      <c r="N267" s="5"/>
      <c r="O267" s="13"/>
    </row>
    <row r="268" spans="1:15">
      <c r="A268" s="147" t="s">
        <v>275</v>
      </c>
      <c r="B268" s="148">
        <v>28</v>
      </c>
      <c r="C268" s="177">
        <f t="shared" ref="C268:C272" si="4">300000*(1+0.1*B268/365)-300000</f>
        <v>2301.3698630136787</v>
      </c>
      <c r="D268" s="140"/>
      <c r="E268" s="140"/>
      <c r="F268" s="140"/>
      <c r="G268" s="140"/>
      <c r="H268" s="143"/>
      <c r="I268" s="5"/>
      <c r="J268" s="5"/>
      <c r="K268" s="5"/>
      <c r="L268" s="5"/>
      <c r="M268" s="5"/>
      <c r="N268" s="5"/>
      <c r="O268" s="13"/>
    </row>
    <row r="269" spans="1:15" ht="18">
      <c r="A269" s="147" t="s">
        <v>276</v>
      </c>
      <c r="B269" s="148">
        <v>31</v>
      </c>
      <c r="C269" s="177">
        <f t="shared" si="4"/>
        <v>2547.9452054794529</v>
      </c>
      <c r="D269" s="140"/>
      <c r="E269" s="140"/>
      <c r="F269" s="140"/>
      <c r="G269" s="140"/>
      <c r="H269" s="143"/>
      <c r="I269" s="5"/>
      <c r="J269" s="5"/>
      <c r="K269" s="5"/>
      <c r="L269" s="5"/>
      <c r="M269" s="684"/>
      <c r="N269" s="5"/>
      <c r="O269" s="13"/>
    </row>
    <row r="270" spans="1:15">
      <c r="A270" s="147" t="s">
        <v>282</v>
      </c>
      <c r="B270" s="148">
        <v>30</v>
      </c>
      <c r="C270" s="177">
        <f t="shared" si="4"/>
        <v>2465.7534246575669</v>
      </c>
      <c r="D270" s="140"/>
      <c r="E270" s="140"/>
      <c r="F270" s="140"/>
      <c r="G270" s="140"/>
      <c r="H270" s="143"/>
      <c r="I270" s="5"/>
      <c r="J270" s="5"/>
      <c r="K270" s="5"/>
      <c r="L270" s="5"/>
      <c r="M270" s="5"/>
      <c r="N270" s="5"/>
      <c r="O270" s="13"/>
    </row>
    <row r="271" spans="1:15">
      <c r="A271" s="147" t="s">
        <v>277</v>
      </c>
      <c r="B271" s="148">
        <v>31</v>
      </c>
      <c r="C271" s="177">
        <f t="shared" si="4"/>
        <v>2547.9452054794529</v>
      </c>
      <c r="D271" s="140"/>
      <c r="E271" s="140"/>
      <c r="F271" s="140"/>
      <c r="G271" s="140"/>
      <c r="H271" s="143"/>
      <c r="I271" s="5"/>
      <c r="J271" s="5"/>
      <c r="K271" s="5"/>
      <c r="L271" s="5"/>
      <c r="M271" s="5"/>
      <c r="N271" s="5"/>
      <c r="O271" s="13"/>
    </row>
    <row r="272" spans="1:15">
      <c r="A272" s="147" t="s">
        <v>278</v>
      </c>
      <c r="B272" s="148">
        <v>30</v>
      </c>
      <c r="C272" s="177">
        <f t="shared" si="4"/>
        <v>2465.7534246575669</v>
      </c>
      <c r="D272" s="140"/>
      <c r="E272" s="140"/>
      <c r="F272" s="140"/>
      <c r="G272" s="140"/>
      <c r="H272" s="143"/>
      <c r="I272" s="5"/>
      <c r="J272" s="5"/>
      <c r="K272" s="5"/>
      <c r="L272" s="5"/>
      <c r="M272" s="5"/>
      <c r="N272" s="5"/>
      <c r="O272" s="13"/>
    </row>
    <row r="273" spans="1:15" ht="15" thickBot="1">
      <c r="A273" s="259"/>
      <c r="B273" s="249" t="s">
        <v>57</v>
      </c>
      <c r="C273" s="157">
        <f>SUM(C267:C272)</f>
        <v>14794.520547945285</v>
      </c>
      <c r="D273" s="158"/>
      <c r="E273" s="158"/>
      <c r="F273" s="158"/>
      <c r="G273" s="158"/>
      <c r="H273" s="146"/>
      <c r="I273" s="5"/>
      <c r="J273" s="5"/>
      <c r="K273" s="5"/>
      <c r="L273" s="5"/>
      <c r="M273" s="5"/>
      <c r="N273" s="5"/>
      <c r="O273" s="13"/>
    </row>
    <row r="274" spans="1:15" ht="15" thickBot="1">
      <c r="A274" s="21"/>
      <c r="B274" s="5"/>
      <c r="C274" s="5"/>
      <c r="D274" s="5"/>
      <c r="E274" s="5"/>
      <c r="F274" s="5"/>
      <c r="G274" s="5"/>
      <c r="H274" s="5"/>
      <c r="I274" s="5"/>
      <c r="J274" s="5"/>
      <c r="K274" s="5"/>
      <c r="L274" s="5"/>
      <c r="M274" s="5"/>
      <c r="N274" s="5"/>
      <c r="O274" s="13"/>
    </row>
    <row r="275" spans="1:15" ht="15" thickBot="1">
      <c r="A275" s="968" t="s">
        <v>781</v>
      </c>
      <c r="B275" s="969"/>
      <c r="C275" s="969"/>
      <c r="D275" s="969"/>
      <c r="E275" s="969"/>
      <c r="F275" s="969"/>
      <c r="G275" s="969"/>
      <c r="H275" s="969"/>
      <c r="I275" s="969"/>
      <c r="J275" s="969"/>
      <c r="K275" s="969"/>
      <c r="L275" s="969"/>
      <c r="M275" s="969"/>
      <c r="N275" s="969"/>
      <c r="O275" s="970"/>
    </row>
    <row r="276" spans="1:15" ht="15" thickBot="1">
      <c r="A276" s="1008" t="s">
        <v>333</v>
      </c>
      <c r="B276" s="1009"/>
      <c r="C276" s="1009"/>
      <c r="D276" s="1009"/>
      <c r="E276" s="1009"/>
      <c r="F276" s="1009"/>
      <c r="G276" s="1010"/>
      <c r="H276" s="387"/>
      <c r="I276" s="5"/>
      <c r="J276" s="5"/>
      <c r="K276" s="5"/>
      <c r="L276" s="5"/>
      <c r="M276" s="5"/>
      <c r="N276" s="5"/>
      <c r="O276" s="13"/>
    </row>
    <row r="277" spans="1:15" ht="15" thickBot="1">
      <c r="A277" s="389" t="s">
        <v>342</v>
      </c>
      <c r="B277" s="392"/>
      <c r="C277" s="390"/>
      <c r="D277" s="393"/>
      <c r="E277" s="390"/>
      <c r="F277" s="393"/>
      <c r="G277" s="391" t="s">
        <v>338</v>
      </c>
      <c r="H277" s="387"/>
      <c r="I277" s="5"/>
      <c r="J277" s="5"/>
      <c r="K277" s="5"/>
      <c r="L277" s="5"/>
      <c r="M277" s="5"/>
      <c r="N277" s="5"/>
      <c r="O277" s="13"/>
    </row>
    <row r="278" spans="1:15" ht="15" thickBot="1">
      <c r="A278" s="397">
        <f>1500000/1000</f>
        <v>1500</v>
      </c>
      <c r="B278" s="398">
        <f>1533750/1000</f>
        <v>1533.75</v>
      </c>
      <c r="C278" s="399">
        <f>1568259.38/1000</f>
        <v>1568.25938</v>
      </c>
      <c r="D278" s="400">
        <f>1587862.62/1000</f>
        <v>1587.8626200000001</v>
      </c>
      <c r="E278" s="400">
        <f>1607710.9/1000</f>
        <v>1607.7108999999998</v>
      </c>
      <c r="F278" s="400">
        <f>1627807.29/1000</f>
        <v>1627.80729</v>
      </c>
      <c r="G278" s="401">
        <f>1648154.88/1000</f>
        <v>1648.1548799999998</v>
      </c>
      <c r="H278" s="8"/>
      <c r="I278" s="5"/>
      <c r="J278" s="5"/>
      <c r="K278" s="5"/>
      <c r="L278" s="5"/>
      <c r="M278" s="5"/>
      <c r="N278" s="5"/>
      <c r="O278" s="13"/>
    </row>
    <row r="279" spans="1:15" ht="15.6" thickTop="1" thickBot="1">
      <c r="A279" s="402" t="s">
        <v>294</v>
      </c>
      <c r="B279" s="403" t="s">
        <v>334</v>
      </c>
      <c r="C279" s="404" t="s">
        <v>295</v>
      </c>
      <c r="D279" s="380" t="s">
        <v>296</v>
      </c>
      <c r="E279" s="380" t="s">
        <v>297</v>
      </c>
      <c r="F279" s="380" t="s">
        <v>298</v>
      </c>
      <c r="G279" s="405"/>
      <c r="H279" s="5"/>
      <c r="I279" s="5"/>
      <c r="J279" s="5"/>
      <c r="K279" s="5"/>
      <c r="L279" s="5"/>
      <c r="M279" s="5"/>
      <c r="N279" s="5"/>
      <c r="O279" s="13"/>
    </row>
    <row r="280" spans="1:15" ht="15" thickBot="1">
      <c r="A280" s="406">
        <v>0.09</v>
      </c>
      <c r="B280" s="407">
        <v>0.09</v>
      </c>
      <c r="C280" s="408">
        <v>0.05</v>
      </c>
      <c r="D280" s="382">
        <v>0.05</v>
      </c>
      <c r="E280" s="382">
        <v>0.05</v>
      </c>
      <c r="F280" s="382">
        <v>0.05</v>
      </c>
      <c r="G280" s="409" t="s">
        <v>343</v>
      </c>
      <c r="H280" s="5"/>
      <c r="I280" s="5"/>
      <c r="J280" s="5"/>
      <c r="K280" s="5"/>
      <c r="L280" s="5"/>
      <c r="M280" s="5"/>
      <c r="N280" s="5"/>
      <c r="O280" s="13"/>
    </row>
    <row r="281" spans="1:15" ht="15" thickBot="1">
      <c r="A281" s="402">
        <v>1</v>
      </c>
      <c r="B281" s="410">
        <v>2</v>
      </c>
      <c r="C281" s="404">
        <v>3</v>
      </c>
      <c r="D281" s="380">
        <v>4</v>
      </c>
      <c r="E281" s="380">
        <v>5</v>
      </c>
      <c r="F281" s="380">
        <v>6</v>
      </c>
      <c r="G281" s="405"/>
      <c r="H281" s="5"/>
      <c r="I281" s="5"/>
      <c r="J281" s="5"/>
      <c r="K281" s="5"/>
      <c r="L281" s="5"/>
      <c r="M281" s="5"/>
      <c r="N281" s="5"/>
      <c r="O281" s="13"/>
    </row>
    <row r="282" spans="1:15" ht="15" thickBot="1">
      <c r="A282" s="411">
        <f>A278*(1+A280/4)-A278</f>
        <v>33.75</v>
      </c>
      <c r="B282" s="412">
        <f>B278*(1+B280/4)-B278</f>
        <v>34.509374999999864</v>
      </c>
      <c r="C282" s="413">
        <f>C278*(1+C280/4)-C278</f>
        <v>19.603242249999994</v>
      </c>
      <c r="D282" s="414">
        <f t="shared" ref="D282:F282" si="5">D278*(1+D280/4)-D278</f>
        <v>19.848282749999953</v>
      </c>
      <c r="E282" s="415">
        <f t="shared" si="5"/>
        <v>20.096386250000023</v>
      </c>
      <c r="F282" s="416">
        <f t="shared" si="5"/>
        <v>20.347591125000008</v>
      </c>
      <c r="G282" s="417" t="s">
        <v>344</v>
      </c>
      <c r="H282" s="5"/>
      <c r="I282" s="5"/>
      <c r="J282" s="5"/>
      <c r="K282" s="5"/>
      <c r="L282" s="5"/>
      <c r="M282" s="5"/>
      <c r="N282" s="5"/>
      <c r="O282" s="13"/>
    </row>
    <row r="283" spans="1:15" ht="15" thickBot="1">
      <c r="A283" s="402"/>
      <c r="B283" s="418"/>
      <c r="C283" s="419"/>
      <c r="D283" s="381"/>
      <c r="E283" s="381"/>
      <c r="F283" s="381"/>
      <c r="G283" s="405"/>
      <c r="H283" s="5"/>
      <c r="I283" s="5"/>
      <c r="J283" s="5"/>
      <c r="K283" s="5"/>
      <c r="L283" s="5"/>
      <c r="M283" s="5"/>
      <c r="N283" s="5"/>
      <c r="O283" s="13"/>
    </row>
    <row r="284" spans="1:15" ht="15" thickBot="1">
      <c r="A284" s="420"/>
      <c r="B284" s="421"/>
      <c r="C284" s="422"/>
      <c r="D284" s="383"/>
      <c r="E284" s="383"/>
      <c r="F284" s="383"/>
      <c r="G284" s="409"/>
      <c r="H284" s="5"/>
      <c r="I284" s="5"/>
      <c r="J284" s="5"/>
      <c r="K284" s="5"/>
      <c r="L284" s="5"/>
      <c r="M284" s="5"/>
      <c r="N284" s="5"/>
      <c r="O284" s="13"/>
    </row>
    <row r="285" spans="1:15" ht="15" thickBot="1">
      <c r="A285" s="423"/>
      <c r="B285" s="424">
        <f>(G278/A278)^(2/3)-1</f>
        <v>6.4807678937660818E-2</v>
      </c>
      <c r="C285" s="1011" t="s">
        <v>336</v>
      </c>
      <c r="D285" s="1012"/>
      <c r="E285" s="425"/>
      <c r="F285" s="425"/>
      <c r="G285" s="426"/>
      <c r="H285" s="5"/>
      <c r="I285" s="5"/>
      <c r="J285" s="5"/>
      <c r="K285" s="5"/>
      <c r="L285" s="5"/>
      <c r="M285" s="5"/>
      <c r="N285" s="5"/>
      <c r="O285" s="13"/>
    </row>
    <row r="286" spans="1:15">
      <c r="A286" s="685"/>
      <c r="B286" s="384"/>
      <c r="C286" s="384"/>
      <c r="D286" s="384"/>
      <c r="E286" s="384"/>
      <c r="F286" s="384"/>
      <c r="G286" s="385"/>
      <c r="H286" s="5"/>
      <c r="I286" s="5"/>
      <c r="J286" s="5"/>
      <c r="K286" s="5"/>
      <c r="L286" s="5"/>
      <c r="M286" s="5"/>
      <c r="N286" s="5"/>
      <c r="O286" s="13"/>
    </row>
    <row r="287" spans="1:15">
      <c r="A287" s="686" t="s">
        <v>335</v>
      </c>
      <c r="B287" s="386"/>
      <c r="C287" s="386"/>
      <c r="D287" s="386"/>
      <c r="E287" s="386"/>
      <c r="F287" s="386"/>
      <c r="G287" s="385"/>
      <c r="H287" s="5"/>
      <c r="I287" s="5"/>
      <c r="J287" s="5"/>
      <c r="K287" s="5"/>
      <c r="L287" s="5"/>
      <c r="M287" s="5"/>
      <c r="N287" s="5"/>
      <c r="O287" s="13"/>
    </row>
    <row r="288" spans="1:15">
      <c r="A288" s="687" t="s">
        <v>337</v>
      </c>
      <c r="B288" s="385"/>
      <c r="C288" s="385"/>
      <c r="D288" s="385"/>
      <c r="E288" s="385"/>
      <c r="F288" s="385"/>
      <c r="G288" s="385"/>
      <c r="H288" s="5"/>
      <c r="I288" s="5"/>
      <c r="J288" s="5"/>
      <c r="K288" s="5"/>
      <c r="L288" s="5"/>
      <c r="M288" s="5"/>
      <c r="N288" s="5"/>
      <c r="O288" s="13"/>
    </row>
    <row r="289" spans="1:15">
      <c r="A289" s="688" t="s">
        <v>339</v>
      </c>
      <c r="B289" s="395">
        <f>G278/A278</f>
        <v>1.0987699199999998</v>
      </c>
      <c r="C289" s="394" t="s">
        <v>340</v>
      </c>
      <c r="D289" s="394"/>
      <c r="E289" s="394">
        <f>B289^(2/3)</f>
        <v>1.0648076789376608</v>
      </c>
      <c r="F289" s="394" t="s">
        <v>341</v>
      </c>
      <c r="G289" s="396">
        <f>E289-1</f>
        <v>6.4807678937660818E-2</v>
      </c>
      <c r="H289" s="5"/>
      <c r="I289" s="5"/>
      <c r="J289" s="5"/>
      <c r="K289" s="5"/>
      <c r="L289" s="5"/>
      <c r="M289" s="5"/>
      <c r="N289" s="5"/>
      <c r="O289" s="13"/>
    </row>
    <row r="290" spans="1:15" ht="15" thickBot="1">
      <c r="A290" s="689"/>
      <c r="B290" s="690"/>
      <c r="C290" s="691"/>
      <c r="D290" s="692"/>
      <c r="E290" s="692"/>
      <c r="F290" s="692"/>
      <c r="G290" s="692"/>
      <c r="H290" s="14"/>
      <c r="I290" s="14"/>
      <c r="J290" s="14"/>
      <c r="K290" s="14"/>
      <c r="L290" s="14"/>
      <c r="M290" s="14"/>
      <c r="N290" s="14"/>
      <c r="O290" s="15"/>
    </row>
    <row r="291" spans="1:15">
      <c r="A291" s="8"/>
      <c r="B291" s="8"/>
      <c r="C291" s="8"/>
      <c r="D291" s="8"/>
      <c r="E291" s="8"/>
      <c r="F291" s="8"/>
      <c r="G291" s="8"/>
    </row>
    <row r="292" spans="1:15">
      <c r="A292" s="8"/>
      <c r="B292" s="8"/>
      <c r="C292" s="8"/>
      <c r="D292" s="8"/>
      <c r="E292" s="8"/>
      <c r="F292" s="8"/>
      <c r="G292" s="8"/>
    </row>
    <row r="293" spans="1:15">
      <c r="B293" s="3"/>
    </row>
  </sheetData>
  <mergeCells count="50">
    <mergeCell ref="J69:O69"/>
    <mergeCell ref="J87:O94"/>
    <mergeCell ref="J28:O28"/>
    <mergeCell ref="J29:O36"/>
    <mergeCell ref="J37:O37"/>
    <mergeCell ref="J50:O50"/>
    <mergeCell ref="J51:O60"/>
    <mergeCell ref="A275:O275"/>
    <mergeCell ref="A4:O4"/>
    <mergeCell ref="A5:O5"/>
    <mergeCell ref="A147:O147"/>
    <mergeCell ref="A168:O168"/>
    <mergeCell ref="A152:H152"/>
    <mergeCell ref="A12:H15"/>
    <mergeCell ref="A24:H27"/>
    <mergeCell ref="A44:H50"/>
    <mergeCell ref="A112:H112"/>
    <mergeCell ref="A127:H127"/>
    <mergeCell ref="A128:H133"/>
    <mergeCell ref="A136:H136"/>
    <mergeCell ref="A113:H118"/>
    <mergeCell ref="J7:O7"/>
    <mergeCell ref="J8:O9"/>
    <mergeCell ref="A276:G276"/>
    <mergeCell ref="C285:D285"/>
    <mergeCell ref="A1:O3"/>
    <mergeCell ref="A224:H231"/>
    <mergeCell ref="A238:H241"/>
    <mergeCell ref="A258:H262"/>
    <mergeCell ref="E41:F41"/>
    <mergeCell ref="D22:E22"/>
    <mergeCell ref="A207:H207"/>
    <mergeCell ref="C210:F210"/>
    <mergeCell ref="A198:H205"/>
    <mergeCell ref="A164:E164"/>
    <mergeCell ref="A169:H175"/>
    <mergeCell ref="A187:H188"/>
    <mergeCell ref="E190:F190"/>
    <mergeCell ref="A148:H149"/>
    <mergeCell ref="A80:H80"/>
    <mergeCell ref="A81:H95"/>
    <mergeCell ref="A43:H43"/>
    <mergeCell ref="A62:H62"/>
    <mergeCell ref="A7:C7"/>
    <mergeCell ref="A63:H70"/>
    <mergeCell ref="J11:O11"/>
    <mergeCell ref="J15:O15"/>
    <mergeCell ref="J16:O18"/>
    <mergeCell ref="J20:O20"/>
    <mergeCell ref="J21:O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topLeftCell="A169" workbookViewId="0">
      <selection activeCell="L185" sqref="L185"/>
    </sheetView>
  </sheetViews>
  <sheetFormatPr defaultRowHeight="14.4"/>
  <cols>
    <col min="1" max="1" width="12.109375" customWidth="1"/>
    <col min="2" max="6" width="9.44140625" bestFit="1" customWidth="1"/>
    <col min="7" max="7" width="9.77734375" customWidth="1"/>
    <col min="9" max="9" width="11" customWidth="1"/>
    <col min="10" max="10" width="17.21875" customWidth="1"/>
    <col min="11" max="11" width="2.21875" customWidth="1"/>
    <col min="14" max="14" width="7" customWidth="1"/>
    <col min="15" max="15" width="4.6640625" customWidth="1"/>
    <col min="16" max="16" width="9.21875" customWidth="1"/>
    <col min="17" max="17" width="8.109375" customWidth="1"/>
    <col min="18" max="18" width="11.21875" customWidth="1"/>
    <col min="19" max="19" width="11.109375" customWidth="1"/>
    <col min="20" max="20" width="8" customWidth="1"/>
    <col min="21" max="21" width="9.21875" bestFit="1" customWidth="1"/>
    <col min="22" max="22" width="13.6640625" customWidth="1"/>
  </cols>
  <sheetData>
    <row r="1" spans="1:25" ht="14.4" customHeight="1">
      <c r="A1" s="953" t="s">
        <v>677</v>
      </c>
      <c r="B1" s="954"/>
      <c r="C1" s="954"/>
      <c r="D1" s="954"/>
      <c r="E1" s="954"/>
      <c r="F1" s="954"/>
      <c r="G1" s="954"/>
      <c r="H1" s="954"/>
      <c r="I1" s="954"/>
      <c r="J1" s="954"/>
      <c r="K1" s="954"/>
      <c r="L1" s="954"/>
      <c r="M1" s="954"/>
      <c r="N1" s="954"/>
      <c r="O1" s="954"/>
      <c r="P1" s="954"/>
      <c r="Q1" s="954"/>
      <c r="R1" s="954"/>
      <c r="S1" s="954"/>
      <c r="T1" s="954"/>
      <c r="U1" s="954"/>
      <c r="V1" s="955"/>
    </row>
    <row r="2" spans="1:25">
      <c r="A2" s="956"/>
      <c r="B2" s="957"/>
      <c r="C2" s="957"/>
      <c r="D2" s="957"/>
      <c r="E2" s="957"/>
      <c r="F2" s="957"/>
      <c r="G2" s="957"/>
      <c r="H2" s="957"/>
      <c r="I2" s="957"/>
      <c r="J2" s="957"/>
      <c r="K2" s="957"/>
      <c r="L2" s="957"/>
      <c r="M2" s="957"/>
      <c r="N2" s="957"/>
      <c r="O2" s="957"/>
      <c r="P2" s="957"/>
      <c r="Q2" s="957"/>
      <c r="R2" s="957"/>
      <c r="S2" s="957"/>
      <c r="T2" s="957"/>
      <c r="U2" s="957"/>
      <c r="V2" s="958"/>
    </row>
    <row r="3" spans="1:25" ht="15" thickBot="1">
      <c r="A3" s="959"/>
      <c r="B3" s="960"/>
      <c r="C3" s="960"/>
      <c r="D3" s="960"/>
      <c r="E3" s="960"/>
      <c r="F3" s="960"/>
      <c r="G3" s="960"/>
      <c r="H3" s="960"/>
      <c r="I3" s="960"/>
      <c r="J3" s="960"/>
      <c r="K3" s="960"/>
      <c r="L3" s="960"/>
      <c r="M3" s="960"/>
      <c r="N3" s="960"/>
      <c r="O3" s="960"/>
      <c r="P3" s="960"/>
      <c r="Q3" s="960"/>
      <c r="R3" s="960"/>
      <c r="S3" s="960"/>
      <c r="T3" s="960"/>
      <c r="U3" s="960"/>
      <c r="V3" s="961"/>
    </row>
    <row r="4" spans="1:25" ht="15" thickBot="1">
      <c r="A4" s="971" t="s">
        <v>671</v>
      </c>
      <c r="B4" s="972"/>
      <c r="C4" s="972"/>
      <c r="D4" s="972"/>
      <c r="E4" s="972"/>
      <c r="F4" s="972"/>
      <c r="G4" s="972"/>
      <c r="H4" s="972"/>
      <c r="I4" s="972"/>
      <c r="J4" s="972"/>
      <c r="K4" s="972"/>
      <c r="L4" s="972"/>
      <c r="M4" s="972"/>
      <c r="N4" s="972"/>
      <c r="O4" s="972"/>
      <c r="P4" s="972"/>
      <c r="Q4" s="972"/>
      <c r="R4" s="972"/>
      <c r="S4" s="972"/>
      <c r="T4" s="972"/>
      <c r="U4" s="972"/>
      <c r="V4" s="973"/>
    </row>
    <row r="5" spans="1:25" ht="15" thickBot="1">
      <c r="A5" s="1033" t="s">
        <v>631</v>
      </c>
      <c r="B5" s="1034"/>
      <c r="C5" s="1034"/>
      <c r="D5" s="1034"/>
      <c r="E5" s="1034"/>
      <c r="F5" s="1034"/>
      <c r="G5" s="1034"/>
      <c r="H5" s="1034"/>
      <c r="I5" s="1034"/>
      <c r="J5" s="1034"/>
      <c r="K5" s="1034"/>
      <c r="L5" s="1034"/>
      <c r="M5" s="1034"/>
      <c r="N5" s="1034"/>
      <c r="O5" s="1034"/>
      <c r="P5" s="1034"/>
      <c r="Q5" s="1034"/>
      <c r="R5" s="1034"/>
      <c r="S5" s="1034"/>
      <c r="T5" s="1034"/>
      <c r="U5" s="1034"/>
      <c r="V5" s="1035"/>
    </row>
    <row r="6" spans="1:25" ht="15" thickBot="1"/>
    <row r="7" spans="1:25" ht="30" customHeight="1" thickBot="1">
      <c r="A7" s="885" t="s">
        <v>653</v>
      </c>
      <c r="B7" s="886"/>
      <c r="C7" s="886"/>
      <c r="D7" s="886"/>
      <c r="E7" s="886"/>
      <c r="F7" s="886"/>
      <c r="G7" s="886"/>
      <c r="H7" s="886"/>
      <c r="I7" s="886"/>
      <c r="J7" s="887"/>
      <c r="L7" s="983" t="s">
        <v>654</v>
      </c>
      <c r="M7" s="886"/>
      <c r="N7" s="886"/>
      <c r="O7" s="886"/>
      <c r="P7" s="886"/>
      <c r="Q7" s="886"/>
      <c r="R7" s="886"/>
      <c r="S7" s="886"/>
      <c r="T7" s="886"/>
      <c r="U7" s="886"/>
      <c r="V7" s="887"/>
    </row>
    <row r="8" spans="1:25" ht="14.4" customHeight="1">
      <c r="A8" s="1084" t="s">
        <v>316</v>
      </c>
      <c r="B8" s="1085"/>
      <c r="C8" s="1085"/>
      <c r="D8" s="1085"/>
      <c r="E8" s="1085"/>
      <c r="F8" s="1085"/>
      <c r="G8" s="1085"/>
      <c r="H8" s="1085"/>
      <c r="I8" s="1085"/>
      <c r="J8" s="1086"/>
      <c r="L8" s="1104" t="s">
        <v>349</v>
      </c>
      <c r="M8" s="1105"/>
      <c r="N8" s="1105"/>
      <c r="O8" s="1105"/>
      <c r="P8" s="1105"/>
      <c r="Q8" s="1105"/>
      <c r="R8" s="1105"/>
      <c r="S8" s="1105"/>
      <c r="T8" s="1105"/>
      <c r="U8" s="1105"/>
      <c r="V8" s="1106"/>
    </row>
    <row r="9" spans="1:25" ht="15" customHeight="1" thickBot="1">
      <c r="A9" s="1087"/>
      <c r="B9" s="1088"/>
      <c r="C9" s="1088"/>
      <c r="D9" s="1088"/>
      <c r="E9" s="1088"/>
      <c r="F9" s="1088"/>
      <c r="G9" s="1088"/>
      <c r="H9" s="1088"/>
      <c r="I9" s="1088"/>
      <c r="J9" s="1089"/>
      <c r="L9" s="1107"/>
      <c r="M9" s="1108"/>
      <c r="N9" s="1108"/>
      <c r="O9" s="1108"/>
      <c r="P9" s="1108"/>
      <c r="Q9" s="1108"/>
      <c r="R9" s="1108"/>
      <c r="S9" s="1108"/>
      <c r="T9" s="1108"/>
      <c r="U9" s="1108"/>
      <c r="V9" s="1109"/>
    </row>
    <row r="10" spans="1:25" ht="14.4" customHeight="1" thickBot="1">
      <c r="A10" s="1087"/>
      <c r="B10" s="1088"/>
      <c r="C10" s="1088"/>
      <c r="D10" s="1088"/>
      <c r="E10" s="1088"/>
      <c r="F10" s="1088"/>
      <c r="G10" s="1088"/>
      <c r="H10" s="1088"/>
      <c r="I10" s="1088"/>
      <c r="J10" s="1089"/>
      <c r="L10" s="230" t="s">
        <v>5</v>
      </c>
      <c r="M10" s="376"/>
      <c r="N10" s="376"/>
      <c r="O10" s="376"/>
      <c r="P10" s="376"/>
      <c r="Q10" s="376"/>
      <c r="R10" s="175"/>
      <c r="S10" s="175"/>
      <c r="T10" s="175"/>
      <c r="U10" s="175"/>
      <c r="V10" s="12"/>
    </row>
    <row r="11" spans="1:25" ht="14.4" customHeight="1">
      <c r="A11" s="1087"/>
      <c r="B11" s="1088"/>
      <c r="C11" s="1088"/>
      <c r="D11" s="1088"/>
      <c r="E11" s="1088"/>
      <c r="F11" s="1088"/>
      <c r="G11" s="1088"/>
      <c r="H11" s="1088"/>
      <c r="I11" s="1088"/>
      <c r="J11" s="1089"/>
      <c r="L11" s="427" t="s">
        <v>345</v>
      </c>
      <c r="M11" s="428"/>
      <c r="N11" s="428"/>
      <c r="O11" s="428"/>
      <c r="P11" s="428"/>
      <c r="Q11" s="428"/>
      <c r="R11" s="428"/>
      <c r="S11" s="428"/>
      <c r="T11" s="428"/>
      <c r="U11" s="428"/>
      <c r="V11" s="161"/>
    </row>
    <row r="12" spans="1:25" ht="15" customHeight="1">
      <c r="A12" s="1087"/>
      <c r="B12" s="1088"/>
      <c r="C12" s="1088"/>
      <c r="D12" s="1088"/>
      <c r="E12" s="1088"/>
      <c r="F12" s="1088"/>
      <c r="G12" s="1088"/>
      <c r="H12" s="1088"/>
      <c r="I12" s="1088"/>
      <c r="J12" s="1089"/>
      <c r="L12" s="152" t="s">
        <v>346</v>
      </c>
      <c r="M12" s="140"/>
      <c r="N12" s="140"/>
      <c r="O12" s="140"/>
      <c r="P12" s="140"/>
      <c r="Q12" s="140"/>
      <c r="R12" s="140"/>
      <c r="S12" s="140"/>
      <c r="T12" s="140"/>
      <c r="U12" s="299" t="s">
        <v>195</v>
      </c>
      <c r="V12" s="278">
        <f>1000*85%</f>
        <v>850</v>
      </c>
    </row>
    <row r="13" spans="1:25" ht="15" thickBot="1">
      <c r="A13" s="1090"/>
      <c r="B13" s="1091"/>
      <c r="C13" s="1091"/>
      <c r="D13" s="1091"/>
      <c r="E13" s="1091"/>
      <c r="F13" s="1091"/>
      <c r="G13" s="1091"/>
      <c r="H13" s="1091"/>
      <c r="I13" s="1091"/>
      <c r="J13" s="1092"/>
      <c r="L13" s="429" t="s">
        <v>352</v>
      </c>
      <c r="M13" s="226"/>
      <c r="N13" s="226"/>
      <c r="O13" s="226"/>
      <c r="P13" s="226"/>
      <c r="Q13" s="226"/>
      <c r="R13" s="140"/>
      <c r="S13" s="140"/>
      <c r="T13" s="140"/>
      <c r="U13" s="140"/>
      <c r="V13" s="143"/>
      <c r="W13" s="5"/>
      <c r="X13" s="5"/>
      <c r="Y13" s="5"/>
    </row>
    <row r="14" spans="1:25" ht="15" thickBot="1">
      <c r="A14" s="234" t="s">
        <v>5</v>
      </c>
      <c r="B14" s="374"/>
      <c r="C14" s="374"/>
      <c r="D14" s="374"/>
      <c r="E14" s="374"/>
      <c r="F14" s="374"/>
      <c r="G14" s="132"/>
      <c r="H14" s="132"/>
      <c r="I14" s="132"/>
      <c r="J14" s="133"/>
      <c r="L14" s="147" t="s">
        <v>347</v>
      </c>
      <c r="M14" s="148"/>
      <c r="N14" s="148"/>
      <c r="O14" s="148"/>
      <c r="P14" s="148"/>
      <c r="Q14" s="148"/>
      <c r="R14" s="148"/>
      <c r="S14" s="148"/>
      <c r="T14" s="148"/>
      <c r="U14" s="148"/>
      <c r="V14" s="430"/>
      <c r="W14" s="5"/>
      <c r="X14" s="5"/>
      <c r="Y14" s="5"/>
    </row>
    <row r="15" spans="1:25">
      <c r="A15" s="375" t="s">
        <v>308</v>
      </c>
      <c r="B15" s="376"/>
      <c r="C15" s="376"/>
      <c r="D15" s="376"/>
      <c r="E15" s="376"/>
      <c r="F15" s="376"/>
      <c r="G15" s="175"/>
      <c r="H15" s="175"/>
      <c r="I15" s="175"/>
      <c r="J15" s="161"/>
      <c r="L15" s="147"/>
      <c r="M15" s="148" t="s">
        <v>356</v>
      </c>
      <c r="N15" s="148"/>
      <c r="O15" s="148"/>
      <c r="P15" s="148" t="s">
        <v>350</v>
      </c>
      <c r="Q15" s="148"/>
      <c r="R15" s="148"/>
      <c r="S15" s="148"/>
      <c r="T15" s="148"/>
      <c r="U15" s="431" t="s">
        <v>359</v>
      </c>
      <c r="V15" s="194">
        <f>(1000-V12)/V12</f>
        <v>0.17647058823529413</v>
      </c>
      <c r="W15" s="5"/>
      <c r="X15" s="5"/>
      <c r="Y15" s="5"/>
    </row>
    <row r="16" spans="1:25" ht="15" thickBot="1">
      <c r="A16" s="152" t="s">
        <v>305</v>
      </c>
      <c r="B16" s="140"/>
      <c r="C16" s="140"/>
      <c r="D16" s="140"/>
      <c r="E16" s="140"/>
      <c r="F16" s="140"/>
      <c r="G16" s="140"/>
      <c r="H16" s="140"/>
      <c r="I16" s="140"/>
      <c r="J16" s="143">
        <f>ROUNDDOWN(100000/188.4,)</f>
        <v>530</v>
      </c>
      <c r="L16" s="155"/>
      <c r="M16" s="156" t="s">
        <v>348</v>
      </c>
      <c r="N16" s="156"/>
      <c r="O16" s="156"/>
      <c r="P16" s="156" t="s">
        <v>351</v>
      </c>
      <c r="Q16" s="156"/>
      <c r="R16" s="156"/>
      <c r="S16" s="156"/>
      <c r="T16" s="156"/>
      <c r="U16" s="249" t="s">
        <v>359</v>
      </c>
      <c r="V16" s="198">
        <f>1000/V12-1</f>
        <v>0.17647058823529416</v>
      </c>
      <c r="W16" s="5"/>
      <c r="X16" s="5"/>
      <c r="Y16" s="5"/>
    </row>
    <row r="17" spans="1:25" ht="15" thickBot="1">
      <c r="A17" s="152" t="s">
        <v>307</v>
      </c>
      <c r="B17" s="140"/>
      <c r="C17" s="140"/>
      <c r="D17" s="140"/>
      <c r="E17" s="140"/>
      <c r="F17" s="140"/>
      <c r="G17" s="140"/>
      <c r="H17" s="140"/>
      <c r="I17" s="140"/>
      <c r="J17" s="278">
        <f>100000-(530*188.4)</f>
        <v>148</v>
      </c>
      <c r="W17" s="5"/>
      <c r="X17" s="5"/>
      <c r="Y17" s="5"/>
    </row>
    <row r="18" spans="1:25" ht="15" thickBot="1">
      <c r="A18" s="168" t="s">
        <v>318</v>
      </c>
      <c r="B18" s="140"/>
      <c r="C18" s="140"/>
      <c r="D18" s="140"/>
      <c r="E18" s="140"/>
      <c r="F18" s="140"/>
      <c r="G18" s="140"/>
      <c r="H18" s="140"/>
      <c r="I18" s="140"/>
      <c r="J18" s="377">
        <f>J16*196.5</f>
        <v>104145</v>
      </c>
      <c r="L18" s="983" t="s">
        <v>656</v>
      </c>
      <c r="M18" s="886"/>
      <c r="N18" s="886"/>
      <c r="O18" s="886"/>
      <c r="P18" s="886"/>
      <c r="Q18" s="886"/>
      <c r="R18" s="886"/>
      <c r="S18" s="886"/>
      <c r="T18" s="886"/>
      <c r="U18" s="886"/>
      <c r="V18" s="887"/>
      <c r="W18" s="5"/>
      <c r="X18" s="5"/>
      <c r="Y18" s="5"/>
    </row>
    <row r="19" spans="1:25">
      <c r="A19" s="147" t="s">
        <v>317</v>
      </c>
      <c r="B19" s="148"/>
      <c r="C19" s="148"/>
      <c r="D19" s="148"/>
      <c r="E19" s="148"/>
      <c r="F19" s="148"/>
      <c r="G19" s="148"/>
      <c r="H19" s="148"/>
      <c r="I19" s="148"/>
      <c r="J19" s="257">
        <f>J18+J17</f>
        <v>104293</v>
      </c>
      <c r="L19" s="1104" t="s">
        <v>764</v>
      </c>
      <c r="M19" s="1105"/>
      <c r="N19" s="1105"/>
      <c r="O19" s="1105"/>
      <c r="P19" s="1105"/>
      <c r="Q19" s="1105"/>
      <c r="R19" s="1105"/>
      <c r="S19" s="1105"/>
      <c r="T19" s="1105"/>
      <c r="U19" s="1105"/>
      <c r="V19" s="1106"/>
      <c r="W19" s="233"/>
      <c r="X19" s="5"/>
      <c r="Y19" s="5"/>
    </row>
    <row r="20" spans="1:25" ht="16.2" thickBot="1">
      <c r="A20" s="147" t="s">
        <v>306</v>
      </c>
      <c r="B20" s="148"/>
      <c r="C20" s="148"/>
      <c r="D20" s="148"/>
      <c r="E20" s="148"/>
      <c r="F20" s="148"/>
      <c r="G20" s="148"/>
      <c r="H20" s="148"/>
      <c r="I20" s="148"/>
      <c r="J20" s="257">
        <f>J19-100000</f>
        <v>4293</v>
      </c>
      <c r="L20" s="1107"/>
      <c r="M20" s="1108"/>
      <c r="N20" s="1108"/>
      <c r="O20" s="1108"/>
      <c r="P20" s="1108"/>
      <c r="Q20" s="1108"/>
      <c r="R20" s="1108"/>
      <c r="S20" s="1108"/>
      <c r="T20" s="1108"/>
      <c r="U20" s="1108"/>
      <c r="V20" s="1109"/>
      <c r="W20" s="269"/>
      <c r="X20" s="5"/>
      <c r="Y20" s="5"/>
    </row>
    <row r="21" spans="1:25" ht="16.2" thickBot="1">
      <c r="A21" s="155" t="s">
        <v>319</v>
      </c>
      <c r="B21" s="156"/>
      <c r="C21" s="156"/>
      <c r="D21" s="156"/>
      <c r="E21" s="156"/>
      <c r="F21" s="156"/>
      <c r="G21" s="156"/>
      <c r="H21" s="156"/>
      <c r="I21" s="156"/>
      <c r="J21" s="198">
        <f>J20/100000</f>
        <v>4.2930000000000003E-2</v>
      </c>
      <c r="L21" s="230" t="s">
        <v>5</v>
      </c>
      <c r="M21" s="376"/>
      <c r="N21" s="376"/>
      <c r="O21" s="376"/>
      <c r="P21" s="376"/>
      <c r="Q21" s="376"/>
      <c r="R21" s="175"/>
      <c r="S21" s="175"/>
      <c r="T21" s="175"/>
      <c r="U21" s="175"/>
      <c r="V21" s="12"/>
      <c r="W21" s="238"/>
      <c r="X21" s="5"/>
      <c r="Y21" s="5"/>
    </row>
    <row r="22" spans="1:25" ht="16.2" thickBot="1">
      <c r="L22" s="427" t="s">
        <v>354</v>
      </c>
      <c r="M22" s="428"/>
      <c r="N22" s="428"/>
      <c r="O22" s="428"/>
      <c r="P22" s="428"/>
      <c r="Q22" s="428"/>
      <c r="R22" s="428"/>
      <c r="S22" s="428"/>
      <c r="T22" s="428"/>
      <c r="U22" s="428" t="s">
        <v>357</v>
      </c>
      <c r="V22" s="432">
        <f>1000*0.03</f>
        <v>30</v>
      </c>
      <c r="W22" s="238"/>
      <c r="X22" s="5"/>
      <c r="Y22" s="5"/>
    </row>
    <row r="23" spans="1:25" ht="29.4" customHeight="1" thickBot="1">
      <c r="A23" s="885" t="s">
        <v>655</v>
      </c>
      <c r="B23" s="886"/>
      <c r="C23" s="886"/>
      <c r="D23" s="886"/>
      <c r="E23" s="886"/>
      <c r="F23" s="886"/>
      <c r="G23" s="886"/>
      <c r="H23" s="886"/>
      <c r="I23" s="886"/>
      <c r="J23" s="887"/>
      <c r="L23" s="152" t="s">
        <v>353</v>
      </c>
      <c r="M23" s="140"/>
      <c r="N23" s="140"/>
      <c r="O23" s="140"/>
      <c r="P23" s="140"/>
      <c r="Q23" s="140"/>
      <c r="R23" s="140"/>
      <c r="S23" s="140"/>
      <c r="T23" s="140"/>
      <c r="U23" s="334" t="s">
        <v>358</v>
      </c>
      <c r="V23" s="278">
        <f>V22*4</f>
        <v>120</v>
      </c>
      <c r="W23" s="5"/>
      <c r="X23" s="5"/>
      <c r="Y23" s="5"/>
    </row>
    <row r="24" spans="1:25" ht="14.4" customHeight="1">
      <c r="A24" s="1084" t="s">
        <v>784</v>
      </c>
      <c r="B24" s="1085"/>
      <c r="C24" s="1085"/>
      <c r="D24" s="1085"/>
      <c r="E24" s="1085"/>
      <c r="F24" s="1085"/>
      <c r="G24" s="1085"/>
      <c r="H24" s="1085"/>
      <c r="I24" s="1085"/>
      <c r="J24" s="1086"/>
      <c r="L24" s="147" t="s">
        <v>347</v>
      </c>
      <c r="M24" s="148"/>
      <c r="N24" s="148"/>
      <c r="O24" s="148"/>
      <c r="P24" s="148"/>
      <c r="Q24" s="148"/>
      <c r="R24" s="148"/>
      <c r="S24" s="148"/>
      <c r="T24" s="148"/>
      <c r="U24" s="148"/>
      <c r="V24" s="430"/>
      <c r="W24" s="5"/>
      <c r="X24" s="5"/>
      <c r="Y24" s="5"/>
    </row>
    <row r="25" spans="1:25" ht="15" thickBot="1">
      <c r="A25" s="1087"/>
      <c r="B25" s="1088"/>
      <c r="C25" s="1088"/>
      <c r="D25" s="1088"/>
      <c r="E25" s="1088"/>
      <c r="F25" s="1088"/>
      <c r="G25" s="1088"/>
      <c r="H25" s="1088"/>
      <c r="I25" s="1088"/>
      <c r="J25" s="1089"/>
      <c r="L25" s="155"/>
      <c r="M25" s="156"/>
      <c r="N25" s="156"/>
      <c r="O25" s="156"/>
      <c r="P25" s="156" t="s">
        <v>355</v>
      </c>
      <c r="Q25" s="156"/>
      <c r="R25" s="156"/>
      <c r="S25" s="156"/>
      <c r="T25" s="156"/>
      <c r="U25" s="433" t="s">
        <v>359</v>
      </c>
      <c r="V25" s="198">
        <f>1120/1000-1</f>
        <v>0.12000000000000011</v>
      </c>
      <c r="W25" s="5"/>
      <c r="X25" s="5"/>
      <c r="Y25" s="5"/>
    </row>
    <row r="26" spans="1:25" ht="15" thickBot="1">
      <c r="A26" s="1087"/>
      <c r="B26" s="1088"/>
      <c r="C26" s="1088"/>
      <c r="D26" s="1088"/>
      <c r="E26" s="1088"/>
      <c r="F26" s="1088"/>
      <c r="G26" s="1088"/>
      <c r="H26" s="1088"/>
      <c r="I26" s="1088"/>
      <c r="J26" s="1089"/>
      <c r="L26" s="76"/>
      <c r="M26" s="76"/>
      <c r="N26" s="76"/>
      <c r="O26" s="76"/>
      <c r="P26" s="76"/>
      <c r="Q26" s="76"/>
      <c r="R26" s="76"/>
      <c r="S26" s="76"/>
      <c r="T26" s="76"/>
      <c r="U26" s="76"/>
      <c r="V26" s="75"/>
      <c r="W26" s="5"/>
      <c r="X26" s="5"/>
      <c r="Y26" s="5"/>
    </row>
    <row r="27" spans="1:25" ht="15" thickBot="1">
      <c r="A27" s="1087"/>
      <c r="B27" s="1088"/>
      <c r="C27" s="1088"/>
      <c r="D27" s="1088"/>
      <c r="E27" s="1088"/>
      <c r="F27" s="1088"/>
      <c r="G27" s="1088"/>
      <c r="H27" s="1088"/>
      <c r="I27" s="1088"/>
      <c r="J27" s="1089"/>
      <c r="L27" s="983" t="s">
        <v>657</v>
      </c>
      <c r="M27" s="886"/>
      <c r="N27" s="886"/>
      <c r="O27" s="886"/>
      <c r="P27" s="886"/>
      <c r="Q27" s="886"/>
      <c r="R27" s="886"/>
      <c r="S27" s="886"/>
      <c r="T27" s="886"/>
      <c r="U27" s="886"/>
      <c r="V27" s="887"/>
    </row>
    <row r="28" spans="1:25">
      <c r="A28" s="1087"/>
      <c r="B28" s="1088"/>
      <c r="C28" s="1088"/>
      <c r="D28" s="1088"/>
      <c r="E28" s="1088"/>
      <c r="F28" s="1088"/>
      <c r="G28" s="1088"/>
      <c r="H28" s="1088"/>
      <c r="I28" s="1088"/>
      <c r="J28" s="1089"/>
      <c r="L28" s="1104" t="s">
        <v>499</v>
      </c>
      <c r="M28" s="1105"/>
      <c r="N28" s="1105"/>
      <c r="O28" s="1105"/>
      <c r="P28" s="1105"/>
      <c r="Q28" s="1105"/>
      <c r="R28" s="1105"/>
      <c r="S28" s="1105"/>
      <c r="T28" s="1105"/>
      <c r="U28" s="1105"/>
      <c r="V28" s="1106"/>
    </row>
    <row r="29" spans="1:25">
      <c r="A29" s="1087"/>
      <c r="B29" s="1088"/>
      <c r="C29" s="1088"/>
      <c r="D29" s="1088"/>
      <c r="E29" s="1088"/>
      <c r="F29" s="1088"/>
      <c r="G29" s="1088"/>
      <c r="H29" s="1088"/>
      <c r="I29" s="1088"/>
      <c r="J29" s="1089"/>
      <c r="L29" s="1122"/>
      <c r="M29" s="1123"/>
      <c r="N29" s="1123"/>
      <c r="O29" s="1123"/>
      <c r="P29" s="1123"/>
      <c r="Q29" s="1123"/>
      <c r="R29" s="1123"/>
      <c r="S29" s="1123"/>
      <c r="T29" s="1123"/>
      <c r="U29" s="1123"/>
      <c r="V29" s="1124"/>
    </row>
    <row r="30" spans="1:25">
      <c r="A30" s="1087"/>
      <c r="B30" s="1088"/>
      <c r="C30" s="1088"/>
      <c r="D30" s="1088"/>
      <c r="E30" s="1088"/>
      <c r="F30" s="1088"/>
      <c r="G30" s="1088"/>
      <c r="H30" s="1088"/>
      <c r="I30" s="1088"/>
      <c r="J30" s="1089"/>
      <c r="L30" s="1122"/>
      <c r="M30" s="1123"/>
      <c r="N30" s="1123"/>
      <c r="O30" s="1123"/>
      <c r="P30" s="1123"/>
      <c r="Q30" s="1123"/>
      <c r="R30" s="1123"/>
      <c r="S30" s="1123"/>
      <c r="T30" s="1123"/>
      <c r="U30" s="1123"/>
      <c r="V30" s="1124"/>
    </row>
    <row r="31" spans="1:25" ht="15" thickBot="1">
      <c r="A31" s="1087"/>
      <c r="B31" s="1088"/>
      <c r="C31" s="1088"/>
      <c r="D31" s="1088"/>
      <c r="E31" s="1088"/>
      <c r="F31" s="1088"/>
      <c r="G31" s="1088"/>
      <c r="H31" s="1088"/>
      <c r="I31" s="1088"/>
      <c r="J31" s="1089"/>
      <c r="L31" s="1107"/>
      <c r="M31" s="1108"/>
      <c r="N31" s="1108"/>
      <c r="O31" s="1108"/>
      <c r="P31" s="1108"/>
      <c r="Q31" s="1108"/>
      <c r="R31" s="1108"/>
      <c r="S31" s="1108"/>
      <c r="T31" s="1108"/>
      <c r="U31" s="1108"/>
      <c r="V31" s="1109"/>
    </row>
    <row r="32" spans="1:25" ht="15" thickBot="1">
      <c r="A32" s="1087"/>
      <c r="B32" s="1088"/>
      <c r="C32" s="1088"/>
      <c r="D32" s="1088"/>
      <c r="E32" s="1088"/>
      <c r="F32" s="1088"/>
      <c r="G32" s="1088"/>
      <c r="H32" s="1088"/>
      <c r="I32" s="1088"/>
      <c r="J32" s="1089"/>
      <c r="L32" s="234" t="s">
        <v>5</v>
      </c>
      <c r="M32" s="374"/>
      <c r="N32" s="374"/>
      <c r="O32" s="374"/>
      <c r="P32" s="374"/>
      <c r="Q32" s="374"/>
      <c r="R32" s="132"/>
      <c r="S32" s="132"/>
      <c r="T32" s="132"/>
      <c r="U32" s="132"/>
      <c r="V32" s="133"/>
    </row>
    <row r="33" spans="1:23" ht="15" thickBot="1">
      <c r="A33" s="1090"/>
      <c r="B33" s="1091"/>
      <c r="C33" s="1091"/>
      <c r="D33" s="1091"/>
      <c r="E33" s="1091"/>
      <c r="F33" s="1091"/>
      <c r="G33" s="1091"/>
      <c r="H33" s="1091"/>
      <c r="I33" s="1091"/>
      <c r="J33" s="1092"/>
      <c r="L33" s="147" t="s">
        <v>364</v>
      </c>
      <c r="M33" s="148"/>
      <c r="N33" s="148"/>
      <c r="O33" s="148"/>
      <c r="P33" s="135"/>
      <c r="Q33" s="148"/>
      <c r="R33" s="135"/>
      <c r="S33" s="148" t="s">
        <v>500</v>
      </c>
      <c r="T33" s="148"/>
      <c r="U33" s="148"/>
      <c r="V33" s="194">
        <f>1000*14.5%/940</f>
        <v>0.15425531914893617</v>
      </c>
    </row>
    <row r="34" spans="1:23" ht="16.2" customHeight="1" thickBot="1">
      <c r="A34" s="234" t="s">
        <v>5</v>
      </c>
      <c r="B34" s="374"/>
      <c r="C34" s="374"/>
      <c r="D34" s="374"/>
      <c r="E34" s="374"/>
      <c r="F34" s="374"/>
      <c r="G34" s="132"/>
      <c r="H34" s="132"/>
      <c r="I34" s="132"/>
      <c r="J34" s="133"/>
      <c r="L34" s="147" t="s">
        <v>360</v>
      </c>
      <c r="M34" s="148"/>
      <c r="N34" s="148"/>
      <c r="O34" s="148"/>
      <c r="P34" s="148"/>
      <c r="Q34" s="148"/>
      <c r="R34" s="148"/>
      <c r="S34" s="148"/>
      <c r="T34" s="148"/>
      <c r="U34" s="148"/>
      <c r="V34" s="430"/>
    </row>
    <row r="35" spans="1:23" ht="13.8" customHeight="1" thickBot="1">
      <c r="A35" s="379" t="s">
        <v>308</v>
      </c>
      <c r="B35" s="226"/>
      <c r="C35" s="226"/>
      <c r="D35" s="226"/>
      <c r="E35" s="226"/>
      <c r="F35" s="226"/>
      <c r="G35" s="140"/>
      <c r="H35" s="140"/>
      <c r="I35" s="140"/>
      <c r="J35" s="143"/>
      <c r="L35" s="155" t="s">
        <v>501</v>
      </c>
      <c r="M35" s="156"/>
      <c r="N35" s="156"/>
      <c r="O35" s="156"/>
      <c r="P35" s="156"/>
      <c r="Q35" s="156"/>
      <c r="R35" s="156"/>
      <c r="S35" s="156"/>
      <c r="T35" s="156"/>
      <c r="U35" s="156"/>
      <c r="V35" s="198">
        <f>1000*14.5%/1200</f>
        <v>0.12083333333333333</v>
      </c>
    </row>
    <row r="36" spans="1:23" ht="13.8" customHeight="1" thickBot="1">
      <c r="A36" s="152" t="s">
        <v>331</v>
      </c>
      <c r="B36" s="140"/>
      <c r="C36" s="140"/>
      <c r="D36" s="140"/>
      <c r="E36" s="140"/>
      <c r="F36" s="140"/>
      <c r="G36" s="140"/>
      <c r="H36" s="140"/>
      <c r="I36" s="140"/>
      <c r="J36" s="143"/>
      <c r="V36" s="1"/>
    </row>
    <row r="37" spans="1:23" ht="15" thickBot="1">
      <c r="A37" s="152" t="s">
        <v>310</v>
      </c>
      <c r="B37" s="140"/>
      <c r="C37" s="140"/>
      <c r="D37" s="140"/>
      <c r="E37" s="140"/>
      <c r="F37" s="140"/>
      <c r="G37" s="140"/>
      <c r="H37" s="140"/>
      <c r="I37" s="140"/>
      <c r="J37" s="278">
        <f>188.4*(0.01%+0.041%)+188.4</f>
        <v>188.496084</v>
      </c>
      <c r="L37" s="983" t="s">
        <v>658</v>
      </c>
      <c r="M37" s="886"/>
      <c r="N37" s="886"/>
      <c r="O37" s="886"/>
      <c r="P37" s="886"/>
      <c r="Q37" s="886"/>
      <c r="R37" s="886"/>
      <c r="S37" s="886"/>
      <c r="T37" s="886"/>
      <c r="U37" s="886"/>
      <c r="V37" s="887"/>
    </row>
    <row r="38" spans="1:23" ht="16.2" customHeight="1">
      <c r="A38" s="152" t="s">
        <v>320</v>
      </c>
      <c r="B38" s="140"/>
      <c r="C38" s="140"/>
      <c r="D38" s="140"/>
      <c r="E38" s="140"/>
      <c r="F38" s="140"/>
      <c r="G38" s="140"/>
      <c r="H38" s="140"/>
      <c r="I38" s="140"/>
      <c r="J38" s="278"/>
      <c r="L38" s="1104" t="s">
        <v>776</v>
      </c>
      <c r="M38" s="1105"/>
      <c r="N38" s="1105"/>
      <c r="O38" s="1105"/>
      <c r="P38" s="1105"/>
      <c r="Q38" s="1105"/>
      <c r="R38" s="1105"/>
      <c r="S38" s="1105"/>
      <c r="T38" s="1105"/>
      <c r="U38" s="1105"/>
      <c r="V38" s="1106"/>
      <c r="W38" s="5"/>
    </row>
    <row r="39" spans="1:23" ht="17.399999999999999" customHeight="1">
      <c r="A39" s="152" t="s">
        <v>311</v>
      </c>
      <c r="B39" s="140"/>
      <c r="C39" s="140"/>
      <c r="D39" s="140"/>
      <c r="E39" s="140"/>
      <c r="F39" s="140"/>
      <c r="G39" s="140"/>
      <c r="H39" s="140"/>
      <c r="I39" s="140"/>
      <c r="J39" s="378">
        <f>ROUNDDOWN((100000-150)/J37,)</f>
        <v>529</v>
      </c>
      <c r="L39" s="1122"/>
      <c r="M39" s="1123"/>
      <c r="N39" s="1123"/>
      <c r="O39" s="1123"/>
      <c r="P39" s="1123"/>
      <c r="Q39" s="1123"/>
      <c r="R39" s="1123"/>
      <c r="S39" s="1123"/>
      <c r="T39" s="1123"/>
      <c r="U39" s="1123"/>
      <c r="V39" s="1124"/>
      <c r="W39" s="5"/>
    </row>
    <row r="40" spans="1:23">
      <c r="A40" s="152" t="s">
        <v>604</v>
      </c>
      <c r="B40" s="140"/>
      <c r="C40" s="140"/>
      <c r="D40" s="140"/>
      <c r="E40" s="140"/>
      <c r="F40" s="140"/>
      <c r="G40" s="140"/>
      <c r="H40" s="140"/>
      <c r="I40" s="140"/>
      <c r="J40" s="278">
        <f>(100000-150)-(529*188.5)</f>
        <v>133.5</v>
      </c>
      <c r="L40" s="1122"/>
      <c r="M40" s="1123"/>
      <c r="N40" s="1123"/>
      <c r="O40" s="1123"/>
      <c r="P40" s="1123"/>
      <c r="Q40" s="1123"/>
      <c r="R40" s="1123"/>
      <c r="S40" s="1123"/>
      <c r="T40" s="1123"/>
      <c r="U40" s="1123"/>
      <c r="V40" s="1124"/>
      <c r="W40" s="5"/>
    </row>
    <row r="41" spans="1:23" ht="15" thickBot="1">
      <c r="A41" s="168" t="s">
        <v>315</v>
      </c>
      <c r="B41" s="140"/>
      <c r="C41" s="140"/>
      <c r="D41" s="140"/>
      <c r="E41" s="140"/>
      <c r="F41" s="140"/>
      <c r="G41" s="140"/>
      <c r="H41" s="140"/>
      <c r="I41" s="140"/>
      <c r="J41" s="377"/>
      <c r="L41" s="1107"/>
      <c r="M41" s="1108"/>
      <c r="N41" s="1108"/>
      <c r="O41" s="1108"/>
      <c r="P41" s="1108"/>
      <c r="Q41" s="1108"/>
      <c r="R41" s="1108"/>
      <c r="S41" s="1108"/>
      <c r="T41" s="1108"/>
      <c r="U41" s="1108"/>
      <c r="V41" s="1109"/>
      <c r="W41" s="5"/>
    </row>
    <row r="42" spans="1:23" ht="15" thickBot="1">
      <c r="A42" s="152" t="s">
        <v>314</v>
      </c>
      <c r="B42" s="140"/>
      <c r="C42" s="140"/>
      <c r="D42" s="140"/>
      <c r="E42" s="140"/>
      <c r="F42" s="140"/>
      <c r="G42" s="140"/>
      <c r="H42" s="140"/>
      <c r="I42" s="148" t="s">
        <v>325</v>
      </c>
      <c r="J42" s="257">
        <f>12*0.87*J39</f>
        <v>5522.7599999999993</v>
      </c>
      <c r="L42" s="234" t="s">
        <v>5</v>
      </c>
      <c r="M42" s="374"/>
      <c r="N42" s="374"/>
      <c r="O42" s="374"/>
      <c r="P42" s="374"/>
      <c r="Q42" s="374"/>
      <c r="R42" s="132"/>
      <c r="S42" s="132"/>
      <c r="T42" s="132"/>
      <c r="U42" s="132"/>
      <c r="V42" s="133"/>
      <c r="W42" s="5"/>
    </row>
    <row r="43" spans="1:23">
      <c r="A43" s="147" t="s">
        <v>503</v>
      </c>
      <c r="B43" s="148"/>
      <c r="C43" s="148"/>
      <c r="D43" s="148"/>
      <c r="E43" s="148"/>
      <c r="F43" s="148"/>
      <c r="G43" s="148"/>
      <c r="H43" s="148"/>
      <c r="I43" s="148"/>
      <c r="J43" s="257"/>
      <c r="L43" s="152" t="s">
        <v>372</v>
      </c>
      <c r="M43" s="140"/>
      <c r="N43" s="140"/>
      <c r="O43" s="140"/>
      <c r="P43" s="140"/>
      <c r="Q43" s="140"/>
      <c r="R43" s="140"/>
      <c r="S43" s="140"/>
      <c r="T43" s="140"/>
      <c r="U43" s="140"/>
      <c r="V43" s="434"/>
      <c r="W43" s="5"/>
    </row>
    <row r="44" spans="1:23" ht="14.4" customHeight="1">
      <c r="A44" s="147" t="s">
        <v>505</v>
      </c>
      <c r="B44" s="148"/>
      <c r="C44" s="148"/>
      <c r="D44" s="148"/>
      <c r="E44" s="148"/>
      <c r="F44" s="148"/>
      <c r="G44" s="148"/>
      <c r="H44" s="148"/>
      <c r="I44" s="148"/>
      <c r="J44" s="194">
        <f>12/188.4</f>
        <v>6.3694267515923567E-2</v>
      </c>
      <c r="L44" s="152" t="s">
        <v>370</v>
      </c>
      <c r="M44" s="140"/>
      <c r="N44" s="140"/>
      <c r="O44" s="140"/>
      <c r="P44" s="140"/>
      <c r="Q44" s="140"/>
      <c r="R44" s="140"/>
      <c r="S44" s="140"/>
      <c r="T44" s="140"/>
      <c r="U44" s="140"/>
      <c r="V44" s="278">
        <f>1000*16/4/100*54/90</f>
        <v>24</v>
      </c>
      <c r="W44" s="5"/>
    </row>
    <row r="45" spans="1:23">
      <c r="A45" s="379" t="s">
        <v>312</v>
      </c>
      <c r="B45" s="226"/>
      <c r="C45" s="226"/>
      <c r="D45" s="226"/>
      <c r="E45" s="226"/>
      <c r="F45" s="226"/>
      <c r="G45" s="140"/>
      <c r="H45" s="140"/>
      <c r="I45" s="140"/>
      <c r="J45" s="143"/>
      <c r="L45" s="147" t="s">
        <v>369</v>
      </c>
      <c r="M45" s="148"/>
      <c r="N45" s="148"/>
      <c r="O45" s="148"/>
      <c r="P45" s="148"/>
      <c r="Q45" s="148"/>
      <c r="R45" s="148"/>
      <c r="S45" s="148"/>
      <c r="T45" s="148"/>
      <c r="U45" s="148"/>
      <c r="V45" s="435"/>
    </row>
    <row r="46" spans="1:23">
      <c r="A46" s="152" t="s">
        <v>332</v>
      </c>
      <c r="B46" s="140"/>
      <c r="C46" s="140"/>
      <c r="D46" s="140"/>
      <c r="E46" s="140"/>
      <c r="F46" s="140"/>
      <c r="G46" s="140"/>
      <c r="H46" s="140"/>
      <c r="I46" s="140"/>
      <c r="J46" s="143"/>
      <c r="L46" s="147" t="s">
        <v>371</v>
      </c>
      <c r="M46" s="148"/>
      <c r="N46" s="148"/>
      <c r="O46" s="148"/>
      <c r="P46" s="148"/>
      <c r="Q46" s="148"/>
      <c r="R46" s="148"/>
      <c r="S46" s="148"/>
      <c r="T46" s="148"/>
      <c r="U46" s="148"/>
      <c r="V46" s="257">
        <f>V44+V43</f>
        <v>24</v>
      </c>
    </row>
    <row r="47" spans="1:23" ht="15" thickBot="1">
      <c r="A47" s="152" t="s">
        <v>313</v>
      </c>
      <c r="B47" s="140"/>
      <c r="C47" s="140"/>
      <c r="D47" s="140"/>
      <c r="E47" s="140"/>
      <c r="F47" s="140"/>
      <c r="G47" s="140"/>
      <c r="H47" s="140"/>
      <c r="I47" s="140"/>
      <c r="J47" s="278">
        <f>196.5-196.5*(0.01%+0.041%)</f>
        <v>196.39978500000001</v>
      </c>
      <c r="L47" s="155" t="s">
        <v>368</v>
      </c>
      <c r="M47" s="156"/>
      <c r="N47" s="156"/>
      <c r="O47" s="156"/>
      <c r="P47" s="156"/>
      <c r="Q47" s="156"/>
      <c r="R47" s="156"/>
      <c r="S47" s="156"/>
      <c r="T47" s="156"/>
      <c r="U47" s="156"/>
      <c r="V47" s="250">
        <f>1000+V46</f>
        <v>1024</v>
      </c>
    </row>
    <row r="48" spans="1:23" ht="15" thickBot="1">
      <c r="A48" s="152" t="s">
        <v>321</v>
      </c>
      <c r="B48" s="140"/>
      <c r="C48" s="140"/>
      <c r="D48" s="140"/>
      <c r="E48" s="140"/>
      <c r="F48" s="140"/>
      <c r="G48" s="140"/>
      <c r="H48" s="140"/>
      <c r="I48" s="140"/>
      <c r="J48" s="378"/>
    </row>
    <row r="49" spans="1:23" ht="15" thickBot="1">
      <c r="A49" s="152" t="s">
        <v>322</v>
      </c>
      <c r="B49" s="140"/>
      <c r="C49" s="140"/>
      <c r="D49" s="140"/>
      <c r="E49" s="140"/>
      <c r="F49" s="140"/>
      <c r="G49" s="140"/>
      <c r="H49" s="140"/>
      <c r="I49" s="140"/>
      <c r="J49" s="378"/>
      <c r="L49" s="983" t="s">
        <v>659</v>
      </c>
      <c r="M49" s="886"/>
      <c r="N49" s="886"/>
      <c r="O49" s="886"/>
      <c r="P49" s="886"/>
      <c r="Q49" s="886"/>
      <c r="R49" s="886"/>
      <c r="S49" s="886"/>
      <c r="T49" s="886"/>
      <c r="U49" s="886"/>
      <c r="V49" s="887"/>
    </row>
    <row r="50" spans="1:23">
      <c r="A50" s="152" t="s">
        <v>323</v>
      </c>
      <c r="B50" s="140"/>
      <c r="C50" s="140"/>
      <c r="D50" s="140"/>
      <c r="E50" s="140"/>
      <c r="F50" s="140"/>
      <c r="G50" s="140"/>
      <c r="H50" s="140"/>
      <c r="I50" s="140"/>
      <c r="J50" s="378"/>
      <c r="L50" s="1104" t="s">
        <v>381</v>
      </c>
      <c r="M50" s="1105"/>
      <c r="N50" s="1105"/>
      <c r="O50" s="1105"/>
      <c r="P50" s="1105"/>
      <c r="Q50" s="1105"/>
      <c r="R50" s="1105"/>
      <c r="S50" s="1105"/>
      <c r="T50" s="1105"/>
      <c r="U50" s="1105"/>
      <c r="V50" s="1106"/>
    </row>
    <row r="51" spans="1:23">
      <c r="A51" s="152" t="s">
        <v>329</v>
      </c>
      <c r="B51" s="140"/>
      <c r="C51" s="140"/>
      <c r="D51" s="140"/>
      <c r="E51" s="140"/>
      <c r="F51" s="140"/>
      <c r="G51" s="140"/>
      <c r="H51" s="140"/>
      <c r="I51" s="140"/>
      <c r="J51" s="278"/>
      <c r="L51" s="1122"/>
      <c r="M51" s="1123"/>
      <c r="N51" s="1123"/>
      <c r="O51" s="1123"/>
      <c r="P51" s="1123"/>
      <c r="Q51" s="1123"/>
      <c r="R51" s="1123"/>
      <c r="S51" s="1123"/>
      <c r="T51" s="1123"/>
      <c r="U51" s="1123"/>
      <c r="V51" s="1124"/>
    </row>
    <row r="52" spans="1:23" ht="15" thickBot="1">
      <c r="A52" s="152"/>
      <c r="B52" s="148"/>
      <c r="C52" s="148"/>
      <c r="D52" s="148"/>
      <c r="E52" s="148"/>
      <c r="F52" s="148"/>
      <c r="G52" s="148"/>
      <c r="H52" s="148"/>
      <c r="I52" s="150" t="s">
        <v>324</v>
      </c>
      <c r="J52" s="257">
        <f>(J47*J39-150)-((J47-J37)*J39-150)*0.13+J40</f>
        <v>103354.94874723</v>
      </c>
      <c r="L52" s="1107"/>
      <c r="M52" s="1108"/>
      <c r="N52" s="1108"/>
      <c r="O52" s="1108"/>
      <c r="P52" s="1108"/>
      <c r="Q52" s="1108"/>
      <c r="R52" s="1108"/>
      <c r="S52" s="1108"/>
      <c r="T52" s="1108"/>
      <c r="U52" s="1108"/>
      <c r="V52" s="1109"/>
    </row>
    <row r="53" spans="1:23" ht="15" thickBot="1">
      <c r="A53" s="310" t="s">
        <v>326</v>
      </c>
      <c r="B53" s="140"/>
      <c r="C53" s="140"/>
      <c r="D53" s="140"/>
      <c r="E53" s="140"/>
      <c r="F53" s="140"/>
      <c r="G53" s="148" t="s">
        <v>327</v>
      </c>
      <c r="H53" s="148"/>
      <c r="I53" s="140"/>
      <c r="J53" s="257">
        <f>J52+J42</f>
        <v>108877.70874722999</v>
      </c>
      <c r="L53" s="234" t="s">
        <v>5</v>
      </c>
      <c r="M53" s="374"/>
      <c r="N53" s="374"/>
      <c r="O53" s="374"/>
      <c r="P53" s="374"/>
      <c r="Q53" s="374"/>
      <c r="R53" s="132"/>
      <c r="S53" s="132"/>
      <c r="T53" s="132"/>
      <c r="U53" s="132"/>
      <c r="V53" s="133"/>
    </row>
    <row r="54" spans="1:23" ht="14.4" customHeight="1">
      <c r="A54" s="147" t="s">
        <v>330</v>
      </c>
      <c r="B54" s="148"/>
      <c r="C54" s="148"/>
      <c r="D54" s="148"/>
      <c r="E54" s="148"/>
      <c r="F54" s="148"/>
      <c r="G54" s="148"/>
      <c r="H54" s="148"/>
      <c r="I54" s="148"/>
      <c r="J54" s="257">
        <f>J53-100000</f>
        <v>8877.70874722999</v>
      </c>
      <c r="L54" s="152" t="s">
        <v>365</v>
      </c>
      <c r="M54" s="140"/>
      <c r="N54" s="140"/>
      <c r="O54" s="140"/>
      <c r="P54" s="140"/>
      <c r="Q54" s="140"/>
      <c r="R54" s="140"/>
      <c r="S54" s="140"/>
      <c r="T54" s="140"/>
      <c r="U54" s="140"/>
      <c r="V54" s="278">
        <f>1000-940</f>
        <v>60</v>
      </c>
    </row>
    <row r="55" spans="1:23" ht="15" thickBot="1">
      <c r="A55" s="155" t="s">
        <v>328</v>
      </c>
      <c r="B55" s="156"/>
      <c r="C55" s="156"/>
      <c r="D55" s="156"/>
      <c r="E55" s="156"/>
      <c r="F55" s="156"/>
      <c r="G55" s="156"/>
      <c r="H55" s="156"/>
      <c r="I55" s="156"/>
      <c r="J55" s="198">
        <f>J54/100000</f>
        <v>8.8777087472299898E-2</v>
      </c>
      <c r="L55" s="152" t="s">
        <v>361</v>
      </c>
      <c r="M55" s="140"/>
      <c r="N55" s="140"/>
      <c r="O55" s="140"/>
      <c r="P55" s="140"/>
      <c r="Q55" s="140"/>
      <c r="R55" s="140"/>
      <c r="S55" s="140"/>
      <c r="T55" s="140"/>
      <c r="U55" s="140"/>
      <c r="V55" s="377">
        <f>1000*14.5%</f>
        <v>145</v>
      </c>
    </row>
    <row r="56" spans="1:23" ht="15" thickBot="1">
      <c r="L56" s="152" t="s">
        <v>362</v>
      </c>
      <c r="M56" s="140"/>
      <c r="N56" s="140"/>
      <c r="O56" s="140"/>
      <c r="P56" s="140"/>
      <c r="Q56" s="140"/>
      <c r="R56" s="140"/>
      <c r="S56" s="140"/>
      <c r="T56" s="140"/>
      <c r="U56" s="140"/>
      <c r="V56" s="278">
        <f>V55+V54</f>
        <v>205</v>
      </c>
    </row>
    <row r="57" spans="1:23" ht="15" thickBot="1">
      <c r="A57" s="983" t="s">
        <v>660</v>
      </c>
      <c r="B57" s="886"/>
      <c r="C57" s="886"/>
      <c r="D57" s="886"/>
      <c r="E57" s="886"/>
      <c r="F57" s="886"/>
      <c r="G57" s="886"/>
      <c r="H57" s="886"/>
      <c r="I57" s="886"/>
      <c r="J57" s="887"/>
      <c r="L57" s="436" t="s">
        <v>363</v>
      </c>
      <c r="M57" s="437"/>
      <c r="N57" s="437"/>
      <c r="O57" s="437"/>
      <c r="P57" s="437"/>
      <c r="Q57" s="437"/>
      <c r="R57" s="437"/>
      <c r="S57" s="437"/>
      <c r="T57" s="437"/>
      <c r="U57" s="437"/>
      <c r="V57" s="438">
        <f>V56/940</f>
        <v>0.21808510638297873</v>
      </c>
    </row>
    <row r="58" spans="1:23">
      <c r="A58" s="1084" t="s">
        <v>379</v>
      </c>
      <c r="B58" s="1085"/>
      <c r="C58" s="1085"/>
      <c r="D58" s="1085"/>
      <c r="E58" s="1085"/>
      <c r="F58" s="1085"/>
      <c r="G58" s="1085"/>
      <c r="H58" s="1085"/>
      <c r="I58" s="1085"/>
      <c r="J58" s="1086"/>
      <c r="L58" s="152" t="s">
        <v>366</v>
      </c>
      <c r="M58" s="140"/>
      <c r="N58" s="140"/>
      <c r="O58" s="140"/>
      <c r="P58" s="140"/>
      <c r="Q58" s="140"/>
      <c r="R58" s="140"/>
      <c r="S58" s="140"/>
      <c r="T58" s="140"/>
      <c r="U58" s="140"/>
      <c r="V58" s="439">
        <f>1000-1200</f>
        <v>-200</v>
      </c>
      <c r="W58" s="5"/>
    </row>
    <row r="59" spans="1:23">
      <c r="A59" s="1087"/>
      <c r="B59" s="1088"/>
      <c r="C59" s="1088"/>
      <c r="D59" s="1088"/>
      <c r="E59" s="1088"/>
      <c r="F59" s="1088"/>
      <c r="G59" s="1088"/>
      <c r="H59" s="1088"/>
      <c r="I59" s="1088"/>
      <c r="J59" s="1089"/>
      <c r="L59" s="152" t="s">
        <v>361</v>
      </c>
      <c r="M59" s="140"/>
      <c r="N59" s="140"/>
      <c r="O59" s="140"/>
      <c r="P59" s="140"/>
      <c r="Q59" s="140"/>
      <c r="R59" s="140"/>
      <c r="S59" s="140"/>
      <c r="T59" s="140"/>
      <c r="U59" s="140"/>
      <c r="V59" s="377">
        <f>1000*14.5%</f>
        <v>145</v>
      </c>
      <c r="W59" s="5"/>
    </row>
    <row r="60" spans="1:23">
      <c r="A60" s="1087"/>
      <c r="B60" s="1088"/>
      <c r="C60" s="1088"/>
      <c r="D60" s="1088"/>
      <c r="E60" s="1088"/>
      <c r="F60" s="1088"/>
      <c r="G60" s="1088"/>
      <c r="H60" s="1088"/>
      <c r="I60" s="1088"/>
      <c r="J60" s="1089"/>
      <c r="L60" s="152" t="s">
        <v>362</v>
      </c>
      <c r="M60" s="140"/>
      <c r="N60" s="140"/>
      <c r="O60" s="140"/>
      <c r="P60" s="140"/>
      <c r="Q60" s="140"/>
      <c r="R60" s="140"/>
      <c r="S60" s="140"/>
      <c r="T60" s="140"/>
      <c r="U60" s="140"/>
      <c r="V60" s="439">
        <f>V59+V58</f>
        <v>-55</v>
      </c>
      <c r="W60" s="5"/>
    </row>
    <row r="61" spans="1:23" ht="15" thickBot="1">
      <c r="A61" s="1087"/>
      <c r="B61" s="1088"/>
      <c r="C61" s="1088"/>
      <c r="D61" s="1088"/>
      <c r="E61" s="1088"/>
      <c r="F61" s="1088"/>
      <c r="G61" s="1088"/>
      <c r="H61" s="1088"/>
      <c r="I61" s="1088"/>
      <c r="J61" s="1089"/>
      <c r="L61" s="155" t="s">
        <v>363</v>
      </c>
      <c r="M61" s="440"/>
      <c r="N61" s="440"/>
      <c r="O61" s="440"/>
      <c r="P61" s="440"/>
      <c r="Q61" s="440"/>
      <c r="R61" s="156" t="s">
        <v>367</v>
      </c>
      <c r="S61" s="440"/>
      <c r="T61" s="440"/>
      <c r="U61" s="440"/>
      <c r="V61" s="441">
        <f>V60/1200</f>
        <v>-4.583333333333333E-2</v>
      </c>
      <c r="W61" s="5"/>
    </row>
    <row r="62" spans="1:23" ht="15" thickBot="1">
      <c r="A62" s="1087"/>
      <c r="B62" s="1088"/>
      <c r="C62" s="1088"/>
      <c r="D62" s="1088"/>
      <c r="E62" s="1088"/>
      <c r="F62" s="1088"/>
      <c r="G62" s="1088"/>
      <c r="H62" s="1088"/>
      <c r="I62" s="1088"/>
      <c r="J62" s="1089"/>
      <c r="W62" s="5"/>
    </row>
    <row r="63" spans="1:23" ht="15" thickBot="1">
      <c r="A63" s="1090"/>
      <c r="B63" s="1091"/>
      <c r="C63" s="1091"/>
      <c r="D63" s="1091"/>
      <c r="E63" s="1091"/>
      <c r="F63" s="1091"/>
      <c r="G63" s="1091"/>
      <c r="H63" s="1091"/>
      <c r="I63" s="1091"/>
      <c r="J63" s="1092"/>
      <c r="L63" s="1110" t="s">
        <v>668</v>
      </c>
      <c r="M63" s="1111"/>
      <c r="N63" s="1111"/>
      <c r="O63" s="1111"/>
      <c r="P63" s="1111"/>
      <c r="Q63" s="1111"/>
      <c r="R63" s="1111"/>
      <c r="S63" s="1111"/>
      <c r="T63" s="1111"/>
      <c r="U63" s="1111"/>
      <c r="V63" s="1112"/>
      <c r="W63" s="5"/>
    </row>
    <row r="64" spans="1:23" ht="15" thickBot="1">
      <c r="A64" s="234" t="s">
        <v>5</v>
      </c>
      <c r="B64" s="374"/>
      <c r="C64" s="374"/>
      <c r="D64" s="374"/>
      <c r="E64" s="374"/>
      <c r="F64" s="374"/>
      <c r="G64" s="132"/>
      <c r="H64" s="132"/>
      <c r="I64" s="132"/>
      <c r="J64" s="133"/>
      <c r="L64" s="1113"/>
      <c r="M64" s="1114"/>
      <c r="N64" s="1114"/>
      <c r="O64" s="1114"/>
      <c r="P64" s="1114"/>
      <c r="Q64" s="1114"/>
      <c r="R64" s="1114"/>
      <c r="S64" s="1114"/>
      <c r="T64" s="1114"/>
      <c r="U64" s="1114"/>
      <c r="V64" s="1115"/>
    </row>
    <row r="65" spans="1:22" ht="14.4" customHeight="1">
      <c r="A65" s="442" t="s">
        <v>373</v>
      </c>
      <c r="B65" s="443"/>
      <c r="C65" s="443"/>
      <c r="D65" s="443"/>
      <c r="E65" s="443"/>
      <c r="F65" s="443"/>
      <c r="G65" s="444"/>
      <c r="H65" s="444"/>
      <c r="I65" s="444"/>
      <c r="J65" s="445">
        <f>1202959000/188082.55</f>
        <v>6395.9096683876314</v>
      </c>
      <c r="L65" s="1104" t="s">
        <v>783</v>
      </c>
      <c r="M65" s="1105"/>
      <c r="N65" s="1105"/>
      <c r="O65" s="1105"/>
      <c r="P65" s="1105"/>
      <c r="Q65" s="1105"/>
      <c r="R65" s="1105"/>
      <c r="S65" s="1105"/>
      <c r="T65" s="1105"/>
      <c r="U65" s="1105"/>
      <c r="V65" s="1106"/>
    </row>
    <row r="66" spans="1:22" ht="14.4" customHeight="1">
      <c r="A66" s="168" t="s">
        <v>374</v>
      </c>
      <c r="B66" s="140"/>
      <c r="C66" s="140"/>
      <c r="D66" s="140"/>
      <c r="E66" s="140"/>
      <c r="F66" s="140"/>
      <c r="G66" s="140"/>
      <c r="H66" s="140"/>
      <c r="I66" s="140"/>
      <c r="J66" s="377"/>
      <c r="L66" s="1122"/>
      <c r="M66" s="1123"/>
      <c r="N66" s="1123"/>
      <c r="O66" s="1123"/>
      <c r="P66" s="1123"/>
      <c r="Q66" s="1123"/>
      <c r="R66" s="1123"/>
      <c r="S66" s="1123"/>
      <c r="T66" s="1123"/>
      <c r="U66" s="1123"/>
      <c r="V66" s="1124"/>
    </row>
    <row r="67" spans="1:22" ht="14.4" customHeight="1">
      <c r="A67" s="147" t="s">
        <v>375</v>
      </c>
      <c r="B67" s="148"/>
      <c r="C67" s="148"/>
      <c r="D67" s="148"/>
      <c r="E67" s="148"/>
      <c r="F67" s="148"/>
      <c r="G67" s="148"/>
      <c r="H67" s="148" t="s">
        <v>376</v>
      </c>
      <c r="I67" s="148"/>
      <c r="J67" s="446">
        <f>10000/(J65*0.005+J65)</f>
        <v>1.555720651496834</v>
      </c>
      <c r="L67" s="1122"/>
      <c r="M67" s="1123"/>
      <c r="N67" s="1123"/>
      <c r="O67" s="1123"/>
      <c r="P67" s="1123"/>
      <c r="Q67" s="1123"/>
      <c r="R67" s="1123"/>
      <c r="S67" s="1123"/>
      <c r="T67" s="1123"/>
      <c r="U67" s="1123"/>
      <c r="V67" s="1124"/>
    </row>
    <row r="68" spans="1:22">
      <c r="A68" s="168" t="s">
        <v>377</v>
      </c>
      <c r="B68" s="140"/>
      <c r="C68" s="140"/>
      <c r="D68" s="140"/>
      <c r="E68" s="140"/>
      <c r="F68" s="140"/>
      <c r="G68" s="140"/>
      <c r="H68" s="140"/>
      <c r="I68" s="140"/>
      <c r="J68" s="377"/>
      <c r="L68" s="1122"/>
      <c r="M68" s="1123"/>
      <c r="N68" s="1123"/>
      <c r="O68" s="1123"/>
      <c r="P68" s="1123"/>
      <c r="Q68" s="1123"/>
      <c r="R68" s="1123"/>
      <c r="S68" s="1123"/>
      <c r="T68" s="1123"/>
      <c r="U68" s="1123"/>
      <c r="V68" s="1124"/>
    </row>
    <row r="69" spans="1:22" ht="14.4" customHeight="1" thickBot="1">
      <c r="A69" s="155" t="s">
        <v>378</v>
      </c>
      <c r="B69" s="156"/>
      <c r="C69" s="156"/>
      <c r="D69" s="156"/>
      <c r="E69" s="156"/>
      <c r="F69" s="156"/>
      <c r="G69" s="156"/>
      <c r="H69" s="156"/>
      <c r="I69" s="156" t="s">
        <v>380</v>
      </c>
      <c r="J69" s="250">
        <f>7*(J65-J65*0.01)</f>
        <v>44323.65400192629</v>
      </c>
      <c r="L69" s="1107"/>
      <c r="M69" s="1108"/>
      <c r="N69" s="1108"/>
      <c r="O69" s="1108"/>
      <c r="P69" s="1108"/>
      <c r="Q69" s="1108"/>
      <c r="R69" s="1108"/>
      <c r="S69" s="1108"/>
      <c r="T69" s="1108"/>
      <c r="U69" s="1108"/>
      <c r="V69" s="1109"/>
    </row>
    <row r="70" spans="1:22" ht="15" thickBot="1">
      <c r="A70" s="148"/>
      <c r="B70" s="148"/>
      <c r="C70" s="148"/>
      <c r="D70" s="148"/>
      <c r="E70" s="148"/>
      <c r="F70" s="148"/>
      <c r="G70" s="148"/>
      <c r="H70" s="148"/>
      <c r="I70" s="148"/>
      <c r="J70" s="177"/>
      <c r="K70" s="8"/>
      <c r="L70" s="448" t="s">
        <v>383</v>
      </c>
      <c r="M70" s="175"/>
      <c r="N70" s="175"/>
      <c r="O70" s="449"/>
      <c r="P70" s="450"/>
      <c r="Q70" s="376"/>
      <c r="R70" s="451">
        <v>1000</v>
      </c>
      <c r="S70" s="175"/>
      <c r="T70" s="175"/>
      <c r="U70" s="175"/>
      <c r="V70" s="161"/>
    </row>
    <row r="71" spans="1:22" ht="15" customHeight="1">
      <c r="A71" s="1093" t="s">
        <v>661</v>
      </c>
      <c r="B71" s="1094"/>
      <c r="C71" s="1094"/>
      <c r="D71" s="1094"/>
      <c r="E71" s="1094"/>
      <c r="F71" s="1094"/>
      <c r="G71" s="1094"/>
      <c r="H71" s="1094"/>
      <c r="I71" s="1094"/>
      <c r="J71" s="1095"/>
      <c r="K71" s="447"/>
      <c r="L71" s="152"/>
      <c r="M71" s="140"/>
      <c r="N71" s="140"/>
      <c r="O71" s="226"/>
      <c r="P71" s="226"/>
      <c r="Q71" s="226"/>
      <c r="R71" s="140"/>
      <c r="S71" s="140"/>
      <c r="T71" s="140"/>
      <c r="U71" s="140"/>
      <c r="V71" s="143"/>
    </row>
    <row r="72" spans="1:22" ht="15" thickBot="1">
      <c r="A72" s="1096"/>
      <c r="B72" s="1097"/>
      <c r="C72" s="1097"/>
      <c r="D72" s="1097"/>
      <c r="E72" s="1097"/>
      <c r="F72" s="1097"/>
      <c r="G72" s="1097"/>
      <c r="H72" s="1097"/>
      <c r="I72" s="1097"/>
      <c r="J72" s="1098"/>
      <c r="K72" s="8"/>
      <c r="L72" s="452" t="s">
        <v>384</v>
      </c>
      <c r="M72" s="140"/>
      <c r="N72" s="140"/>
      <c r="O72" s="453"/>
      <c r="P72" s="453"/>
      <c r="Q72" s="226"/>
      <c r="R72" s="454">
        <v>7.0000000000000007E-2</v>
      </c>
      <c r="S72" s="140"/>
      <c r="T72" s="140"/>
      <c r="U72" s="140"/>
      <c r="V72" s="143"/>
    </row>
    <row r="73" spans="1:22" ht="15" thickBot="1">
      <c r="A73" s="135"/>
      <c r="B73" s="135"/>
      <c r="C73" s="135"/>
      <c r="D73" s="135"/>
      <c r="E73" s="135"/>
      <c r="F73" s="135"/>
      <c r="G73" s="135"/>
      <c r="H73" s="135"/>
      <c r="I73" s="135"/>
      <c r="J73" s="135"/>
      <c r="K73" s="8"/>
      <c r="L73" s="152"/>
      <c r="M73" s="140"/>
      <c r="N73" s="140"/>
      <c r="O73" s="226"/>
      <c r="P73" s="226"/>
      <c r="Q73" s="226"/>
      <c r="R73" s="140"/>
      <c r="S73" s="140"/>
      <c r="T73" s="140"/>
      <c r="U73" s="140"/>
      <c r="V73" s="143"/>
    </row>
    <row r="74" spans="1:22" ht="15" thickBot="1">
      <c r="A74" s="983" t="s">
        <v>662</v>
      </c>
      <c r="B74" s="886"/>
      <c r="C74" s="886"/>
      <c r="D74" s="886"/>
      <c r="E74" s="886"/>
      <c r="F74" s="886"/>
      <c r="G74" s="886"/>
      <c r="H74" s="886"/>
      <c r="I74" s="886"/>
      <c r="J74" s="887"/>
      <c r="L74" s="152" t="s">
        <v>385</v>
      </c>
      <c r="M74" s="140"/>
      <c r="N74" s="140"/>
      <c r="O74" s="455"/>
      <c r="P74" s="455"/>
      <c r="Q74" s="226"/>
      <c r="R74" s="456">
        <v>14.5</v>
      </c>
      <c r="S74" s="140"/>
      <c r="T74" s="140"/>
      <c r="U74" s="140"/>
      <c r="V74" s="143"/>
    </row>
    <row r="75" spans="1:22" ht="14.4" customHeight="1">
      <c r="A75" s="1084" t="s">
        <v>399</v>
      </c>
      <c r="B75" s="1085"/>
      <c r="C75" s="1085"/>
      <c r="D75" s="1085"/>
      <c r="E75" s="1085"/>
      <c r="F75" s="1085"/>
      <c r="G75" s="1085"/>
      <c r="H75" s="1085"/>
      <c r="I75" s="1085"/>
      <c r="J75" s="1086"/>
      <c r="L75" s="152"/>
      <c r="M75" s="140"/>
      <c r="N75" s="140"/>
      <c r="O75" s="226"/>
      <c r="P75" s="226"/>
      <c r="Q75" s="226"/>
      <c r="R75" s="140"/>
      <c r="S75" s="140"/>
      <c r="T75" s="148" t="s">
        <v>395</v>
      </c>
      <c r="U75" s="160"/>
      <c r="V75" s="257">
        <f>PV(R85,R74,-R78,-R70,R80)</f>
        <v>945.78261336350943</v>
      </c>
    </row>
    <row r="76" spans="1:22">
      <c r="A76" s="1087"/>
      <c r="B76" s="1088"/>
      <c r="C76" s="1088"/>
      <c r="D76" s="1088"/>
      <c r="E76" s="1088"/>
      <c r="F76" s="1088"/>
      <c r="G76" s="1088"/>
      <c r="H76" s="1088"/>
      <c r="I76" s="1088"/>
      <c r="J76" s="1089"/>
      <c r="L76" s="452" t="s">
        <v>391</v>
      </c>
      <c r="M76" s="140"/>
      <c r="N76" s="140"/>
      <c r="O76" s="457"/>
      <c r="P76" s="457"/>
      <c r="Q76" s="226"/>
      <c r="R76" s="458">
        <v>2</v>
      </c>
      <c r="S76" s="140"/>
      <c r="T76" s="140"/>
      <c r="U76" s="140"/>
      <c r="V76" s="143"/>
    </row>
    <row r="77" spans="1:22" ht="15" thickBot="1">
      <c r="A77" s="1087"/>
      <c r="B77" s="1088"/>
      <c r="C77" s="1088"/>
      <c r="D77" s="1088"/>
      <c r="E77" s="1088"/>
      <c r="F77" s="1088"/>
      <c r="G77" s="1088"/>
      <c r="H77" s="1088"/>
      <c r="I77" s="1088"/>
      <c r="J77" s="1089"/>
      <c r="L77" s="152"/>
      <c r="M77" s="140"/>
      <c r="N77" s="140"/>
      <c r="O77" s="226"/>
      <c r="P77" s="226"/>
      <c r="Q77" s="226"/>
      <c r="R77" s="140"/>
      <c r="S77" s="140"/>
      <c r="T77" s="148" t="s">
        <v>393</v>
      </c>
      <c r="U77" s="148"/>
      <c r="V77" s="194">
        <f>V75/1000</f>
        <v>0.94578261336350944</v>
      </c>
    </row>
    <row r="78" spans="1:22" ht="15" thickBot="1">
      <c r="A78" s="234" t="s">
        <v>5</v>
      </c>
      <c r="B78" s="374"/>
      <c r="C78" s="374"/>
      <c r="D78" s="374"/>
      <c r="E78" s="374"/>
      <c r="F78" s="374"/>
      <c r="G78" s="132"/>
      <c r="H78" s="132"/>
      <c r="I78" s="132"/>
      <c r="J78" s="133"/>
      <c r="L78" s="452" t="s">
        <v>389</v>
      </c>
      <c r="M78" s="140"/>
      <c r="N78" s="140"/>
      <c r="O78" s="459"/>
      <c r="P78" s="459"/>
      <c r="Q78" s="226"/>
      <c r="R78" s="460">
        <f>R70*R72/R76</f>
        <v>35</v>
      </c>
      <c r="S78" s="140"/>
      <c r="T78" s="140"/>
      <c r="U78" s="140"/>
      <c r="V78" s="143"/>
    </row>
    <row r="79" spans="1:22">
      <c r="A79" s="174" t="s">
        <v>401</v>
      </c>
      <c r="B79" s="175"/>
      <c r="C79" s="175"/>
      <c r="D79" s="175"/>
      <c r="E79" s="175"/>
      <c r="F79" s="175"/>
      <c r="G79" s="175"/>
      <c r="H79" s="175"/>
      <c r="I79" s="175"/>
      <c r="J79" s="161">
        <v>76.2</v>
      </c>
      <c r="L79" s="152"/>
      <c r="M79" s="140"/>
      <c r="N79" s="140"/>
      <c r="O79" s="226"/>
      <c r="P79" s="226"/>
      <c r="Q79" s="226"/>
      <c r="R79" s="140"/>
      <c r="S79" s="140"/>
      <c r="T79" s="140"/>
      <c r="U79" s="140"/>
      <c r="V79" s="143"/>
    </row>
    <row r="80" spans="1:22">
      <c r="A80" s="152" t="s">
        <v>402</v>
      </c>
      <c r="B80" s="140"/>
      <c r="C80" s="140"/>
      <c r="D80" s="140"/>
      <c r="E80" s="140"/>
      <c r="F80" s="140"/>
      <c r="G80" s="140"/>
      <c r="H80" s="140"/>
      <c r="I80" s="140"/>
      <c r="J80" s="143"/>
      <c r="L80" s="152" t="s">
        <v>388</v>
      </c>
      <c r="M80" s="140"/>
      <c r="N80" s="140"/>
      <c r="O80" s="455"/>
      <c r="P80" s="455"/>
      <c r="Q80" s="226"/>
      <c r="R80" s="461">
        <v>0</v>
      </c>
      <c r="S80" s="140"/>
      <c r="T80" s="140"/>
      <c r="U80" s="140"/>
      <c r="V80" s="143"/>
    </row>
    <row r="81" spans="1:23">
      <c r="A81" s="152" t="s">
        <v>408</v>
      </c>
      <c r="B81" s="140"/>
      <c r="C81" s="140"/>
      <c r="D81" s="140" t="s">
        <v>396</v>
      </c>
      <c r="E81" s="140"/>
      <c r="F81" s="140"/>
      <c r="G81" s="140"/>
      <c r="H81" s="140"/>
      <c r="I81" s="140"/>
      <c r="J81" s="143">
        <f>76.19*1.01</f>
        <v>76.951899999999995</v>
      </c>
      <c r="L81" s="152" t="s">
        <v>579</v>
      </c>
      <c r="M81" s="140"/>
      <c r="N81" s="140"/>
      <c r="O81" s="226"/>
      <c r="P81" s="226"/>
      <c r="Q81" s="226"/>
      <c r="R81" s="140"/>
      <c r="S81" s="140"/>
      <c r="T81" s="140"/>
      <c r="U81" s="140"/>
      <c r="V81" s="143"/>
    </row>
    <row r="82" spans="1:23">
      <c r="A82" s="147" t="s">
        <v>397</v>
      </c>
      <c r="B82" s="148"/>
      <c r="C82" s="148"/>
      <c r="D82" s="148"/>
      <c r="E82" s="148"/>
      <c r="F82" s="148"/>
      <c r="G82" s="148"/>
      <c r="H82" s="148"/>
      <c r="I82" s="148"/>
      <c r="J82" s="430"/>
      <c r="L82" s="152"/>
      <c r="M82" s="140"/>
      <c r="N82" s="140"/>
      <c r="O82" s="226"/>
      <c r="P82" s="226"/>
      <c r="Q82" s="226"/>
      <c r="R82" s="140"/>
      <c r="S82" s="140"/>
      <c r="T82" s="140"/>
      <c r="U82" s="140"/>
      <c r="V82" s="143"/>
    </row>
    <row r="83" spans="1:23">
      <c r="A83" s="147" t="s">
        <v>398</v>
      </c>
      <c r="B83" s="148"/>
      <c r="C83" s="148"/>
      <c r="D83" s="148"/>
      <c r="E83" s="148"/>
      <c r="F83" s="148"/>
      <c r="G83" s="148"/>
      <c r="H83" s="148"/>
      <c r="I83" s="148"/>
      <c r="J83" s="257">
        <f>200*J79</f>
        <v>15240</v>
      </c>
      <c r="L83" s="452" t="s">
        <v>386</v>
      </c>
      <c r="M83" s="140"/>
      <c r="N83" s="140"/>
      <c r="O83" s="462"/>
      <c r="P83" s="462"/>
      <c r="Q83" s="226"/>
      <c r="R83" s="463">
        <v>0.08</v>
      </c>
      <c r="S83" s="140"/>
      <c r="T83" s="140"/>
      <c r="U83" s="140"/>
      <c r="V83" s="143"/>
    </row>
    <row r="84" spans="1:23">
      <c r="A84" s="436" t="s">
        <v>407</v>
      </c>
      <c r="B84" s="437"/>
      <c r="C84" s="437"/>
      <c r="D84" s="437"/>
      <c r="E84" s="437"/>
      <c r="F84" s="437"/>
      <c r="G84" s="437"/>
      <c r="H84" s="437"/>
      <c r="I84" s="437"/>
      <c r="J84" s="569">
        <f>15500-J83</f>
        <v>260</v>
      </c>
      <c r="L84" s="152"/>
      <c r="M84" s="140"/>
      <c r="N84" s="140"/>
      <c r="O84" s="226"/>
      <c r="P84" s="226"/>
      <c r="Q84" s="226"/>
      <c r="R84" s="140"/>
      <c r="S84" s="140"/>
      <c r="T84" s="140"/>
      <c r="U84" s="140"/>
      <c r="V84" s="143"/>
    </row>
    <row r="85" spans="1:23" ht="15" thickBot="1">
      <c r="A85" s="152" t="s">
        <v>400</v>
      </c>
      <c r="B85" s="140"/>
      <c r="C85" s="140"/>
      <c r="D85" s="140"/>
      <c r="E85" s="140"/>
      <c r="F85" s="140"/>
      <c r="G85" s="140"/>
      <c r="H85" s="140"/>
      <c r="I85" s="140"/>
      <c r="J85" s="143">
        <v>76.05</v>
      </c>
      <c r="L85" s="464" t="s">
        <v>387</v>
      </c>
      <c r="M85" s="158"/>
      <c r="N85" s="158"/>
      <c r="O85" s="465"/>
      <c r="P85" s="465"/>
      <c r="Q85" s="224"/>
      <c r="R85" s="466">
        <f>R83/2</f>
        <v>0.04</v>
      </c>
      <c r="S85" s="158" t="s">
        <v>390</v>
      </c>
      <c r="T85" s="158"/>
      <c r="U85" s="158"/>
      <c r="V85" s="146"/>
    </row>
    <row r="86" spans="1:23" ht="15" thickBot="1">
      <c r="A86" s="152" t="s">
        <v>404</v>
      </c>
      <c r="B86" s="140"/>
      <c r="C86" s="140"/>
      <c r="D86" s="140"/>
      <c r="E86" s="140"/>
      <c r="F86" s="140"/>
      <c r="G86" s="140"/>
      <c r="H86" s="140"/>
      <c r="I86" s="140"/>
      <c r="J86" s="143"/>
      <c r="L86" s="8"/>
      <c r="M86" s="8"/>
      <c r="N86" s="8"/>
      <c r="O86" s="8"/>
      <c r="P86" s="8"/>
      <c r="Q86" s="8"/>
      <c r="R86" s="8"/>
      <c r="S86" s="8"/>
      <c r="T86" s="8"/>
      <c r="U86" s="8"/>
      <c r="V86" s="8"/>
      <c r="W86" s="8"/>
    </row>
    <row r="87" spans="1:23">
      <c r="A87" s="152" t="s">
        <v>408</v>
      </c>
      <c r="B87" s="140"/>
      <c r="C87" s="140"/>
      <c r="D87" s="140" t="s">
        <v>403</v>
      </c>
      <c r="E87" s="140"/>
      <c r="F87" s="140"/>
      <c r="G87" s="140"/>
      <c r="H87" s="140"/>
      <c r="I87" s="140"/>
      <c r="J87" s="143">
        <f>76.1-76.1*0.01</f>
        <v>75.338999999999999</v>
      </c>
      <c r="L87" s="1116" t="s">
        <v>667</v>
      </c>
      <c r="M87" s="1117"/>
      <c r="N87" s="1117"/>
      <c r="O87" s="1117"/>
      <c r="P87" s="1117"/>
      <c r="Q87" s="1117"/>
      <c r="R87" s="1117"/>
      <c r="S87" s="1117"/>
      <c r="T87" s="1117"/>
      <c r="U87" s="1117"/>
      <c r="V87" s="1118"/>
      <c r="W87" s="8"/>
    </row>
    <row r="88" spans="1:23" ht="15" thickBot="1">
      <c r="A88" s="147" t="s">
        <v>405</v>
      </c>
      <c r="B88" s="148"/>
      <c r="C88" s="148"/>
      <c r="D88" s="148"/>
      <c r="E88" s="148"/>
      <c r="F88" s="148"/>
      <c r="G88" s="148"/>
      <c r="H88" s="148"/>
      <c r="I88" s="148"/>
      <c r="J88" s="430"/>
      <c r="L88" s="1119"/>
      <c r="M88" s="1120"/>
      <c r="N88" s="1120"/>
      <c r="O88" s="1120"/>
      <c r="P88" s="1120"/>
      <c r="Q88" s="1120"/>
      <c r="R88" s="1120"/>
      <c r="S88" s="1120"/>
      <c r="T88" s="1120"/>
      <c r="U88" s="1120"/>
      <c r="V88" s="1121"/>
      <c r="W88" s="8"/>
    </row>
    <row r="89" spans="1:23" ht="14.4" customHeight="1" thickBot="1">
      <c r="A89" s="155" t="s">
        <v>406</v>
      </c>
      <c r="B89" s="156"/>
      <c r="C89" s="156"/>
      <c r="D89" s="156"/>
      <c r="E89" s="156"/>
      <c r="F89" s="156"/>
      <c r="G89" s="156"/>
      <c r="H89" s="156"/>
      <c r="I89" s="156"/>
      <c r="J89" s="250">
        <f>200*J85</f>
        <v>15210</v>
      </c>
      <c r="L89" s="1104" t="s">
        <v>782</v>
      </c>
      <c r="M89" s="1105"/>
      <c r="N89" s="1105"/>
      <c r="O89" s="1105"/>
      <c r="P89" s="1105"/>
      <c r="Q89" s="1105"/>
      <c r="R89" s="1105"/>
      <c r="S89" s="1105"/>
      <c r="T89" s="1105"/>
      <c r="U89" s="1105"/>
      <c r="V89" s="1106"/>
    </row>
    <row r="90" spans="1:23" ht="15" thickBot="1">
      <c r="A90" s="76"/>
      <c r="B90" s="76"/>
      <c r="C90" s="76"/>
      <c r="D90" s="76"/>
      <c r="E90" s="76"/>
      <c r="F90" s="76"/>
      <c r="G90" s="76"/>
      <c r="H90" s="76"/>
      <c r="I90" s="76"/>
      <c r="J90" s="473"/>
      <c r="L90" s="1122"/>
      <c r="M90" s="1123"/>
      <c r="N90" s="1123"/>
      <c r="O90" s="1123"/>
      <c r="P90" s="1123"/>
      <c r="Q90" s="1123"/>
      <c r="R90" s="1123"/>
      <c r="S90" s="1123"/>
      <c r="T90" s="1123"/>
      <c r="U90" s="1123"/>
      <c r="V90" s="1124"/>
    </row>
    <row r="91" spans="1:23" ht="15" thickBot="1">
      <c r="A91" s="901" t="s">
        <v>663</v>
      </c>
      <c r="B91" s="902"/>
      <c r="C91" s="902"/>
      <c r="D91" s="902"/>
      <c r="E91" s="902"/>
      <c r="F91" s="902"/>
      <c r="G91" s="902"/>
      <c r="H91" s="902"/>
      <c r="I91" s="902"/>
      <c r="J91" s="903"/>
      <c r="L91" s="1122"/>
      <c r="M91" s="1123"/>
      <c r="N91" s="1123"/>
      <c r="O91" s="1123"/>
      <c r="P91" s="1123"/>
      <c r="Q91" s="1123"/>
      <c r="R91" s="1123"/>
      <c r="S91" s="1123"/>
      <c r="T91" s="1123"/>
      <c r="U91" s="1123"/>
      <c r="V91" s="1124"/>
    </row>
    <row r="92" spans="1:23">
      <c r="A92" s="799" t="s">
        <v>413</v>
      </c>
      <c r="B92" s="800"/>
      <c r="C92" s="801" t="s">
        <v>420</v>
      </c>
      <c r="D92" s="800"/>
      <c r="E92" s="800"/>
      <c r="F92" s="800"/>
      <c r="G92" s="800"/>
      <c r="H92" s="1130"/>
      <c r="I92" s="1130"/>
      <c r="J92" s="802"/>
      <c r="L92" s="1122"/>
      <c r="M92" s="1123"/>
      <c r="N92" s="1123"/>
      <c r="O92" s="1123"/>
      <c r="P92" s="1123"/>
      <c r="Q92" s="1123"/>
      <c r="R92" s="1123"/>
      <c r="S92" s="1123"/>
      <c r="T92" s="1123"/>
      <c r="U92" s="1123"/>
      <c r="V92" s="1124"/>
    </row>
    <row r="93" spans="1:23" ht="27" customHeight="1" thickBot="1">
      <c r="A93" s="486" t="s">
        <v>147</v>
      </c>
      <c r="B93" s="483" t="s">
        <v>415</v>
      </c>
      <c r="C93" s="483" t="s">
        <v>421</v>
      </c>
      <c r="D93" s="483" t="s">
        <v>414</v>
      </c>
      <c r="E93" s="483" t="s">
        <v>418</v>
      </c>
      <c r="F93" s="483" t="s">
        <v>417</v>
      </c>
      <c r="G93" s="483" t="s">
        <v>416</v>
      </c>
      <c r="H93" s="1127" t="s">
        <v>429</v>
      </c>
      <c r="I93" s="1128"/>
      <c r="J93" s="1129"/>
      <c r="L93" s="1107"/>
      <c r="M93" s="1108"/>
      <c r="N93" s="1108"/>
      <c r="O93" s="1108"/>
      <c r="P93" s="1108"/>
      <c r="Q93" s="1108"/>
      <c r="R93" s="1108"/>
      <c r="S93" s="1108"/>
      <c r="T93" s="1108"/>
      <c r="U93" s="1108"/>
      <c r="V93" s="1109"/>
    </row>
    <row r="94" spans="1:23" ht="14.4" customHeight="1" thickBot="1">
      <c r="A94" s="480" t="s">
        <v>419</v>
      </c>
      <c r="B94" s="488">
        <v>139</v>
      </c>
      <c r="C94" s="488">
        <v>134</v>
      </c>
      <c r="D94" s="484">
        <v>136</v>
      </c>
      <c r="E94" s="484">
        <v>154</v>
      </c>
      <c r="F94" s="485">
        <v>154</v>
      </c>
      <c r="G94" s="485">
        <v>174</v>
      </c>
      <c r="H94" s="140"/>
      <c r="I94" s="140"/>
      <c r="J94" s="143"/>
      <c r="L94" s="448" t="s">
        <v>383</v>
      </c>
      <c r="M94" s="175"/>
      <c r="N94" s="175"/>
      <c r="O94" s="175"/>
      <c r="P94" s="175"/>
      <c r="Q94" s="175"/>
      <c r="R94" s="449"/>
      <c r="S94" s="451">
        <v>1000</v>
      </c>
      <c r="T94" s="175"/>
      <c r="U94" s="175"/>
      <c r="V94" s="161"/>
    </row>
    <row r="95" spans="1:23">
      <c r="A95" s="803" t="s">
        <v>427</v>
      </c>
      <c r="B95" s="804"/>
      <c r="C95" s="805">
        <f>(C94-B94)/B94</f>
        <v>-3.5971223021582732E-2</v>
      </c>
      <c r="D95" s="806">
        <f t="shared" ref="D95:G95" si="0">(D94-C94)/C94</f>
        <v>1.4925373134328358E-2</v>
      </c>
      <c r="E95" s="806">
        <f t="shared" si="0"/>
        <v>0.13235294117647059</v>
      </c>
      <c r="F95" s="807">
        <f t="shared" si="0"/>
        <v>0</v>
      </c>
      <c r="G95" s="808">
        <f t="shared" si="0"/>
        <v>0.12987012987012986</v>
      </c>
      <c r="H95" s="1149">
        <f>0.964*1.0149*1.1324*1*1.1299</f>
        <v>1.2518150130291359</v>
      </c>
      <c r="I95" s="1150"/>
      <c r="J95" s="809"/>
      <c r="L95" s="152"/>
      <c r="M95" s="140"/>
      <c r="N95" s="140"/>
      <c r="O95" s="140"/>
      <c r="P95" s="140"/>
      <c r="Q95" s="140"/>
      <c r="R95" s="226"/>
      <c r="S95" s="140"/>
      <c r="T95" s="140"/>
      <c r="U95" s="140"/>
      <c r="V95" s="143"/>
    </row>
    <row r="96" spans="1:23">
      <c r="A96" s="810" t="s">
        <v>410</v>
      </c>
      <c r="B96" s="219"/>
      <c r="C96" s="811" t="s">
        <v>423</v>
      </c>
      <c r="D96" s="219"/>
      <c r="E96" s="219"/>
      <c r="F96" s="219"/>
      <c r="G96" s="219"/>
      <c r="H96" s="812" t="s">
        <v>424</v>
      </c>
      <c r="I96" s="813"/>
      <c r="J96" s="814"/>
      <c r="L96" s="452" t="s">
        <v>384</v>
      </c>
      <c r="M96" s="140"/>
      <c r="N96" s="140"/>
      <c r="O96" s="140"/>
      <c r="P96" s="140"/>
      <c r="Q96" s="140"/>
      <c r="R96" s="453"/>
      <c r="S96" s="454">
        <v>7.0000000000000007E-2</v>
      </c>
      <c r="T96" s="140"/>
      <c r="U96" s="140"/>
      <c r="V96" s="143"/>
    </row>
    <row r="97" spans="1:22" ht="15" thickBot="1">
      <c r="A97" s="815" t="s">
        <v>422</v>
      </c>
      <c r="B97" s="816"/>
      <c r="C97" s="817">
        <v>0.11360000000000001</v>
      </c>
      <c r="D97" s="817">
        <v>0.12909999999999999</v>
      </c>
      <c r="E97" s="818">
        <v>5.3800000000000001E-2</v>
      </c>
      <c r="F97" s="818">
        <v>2.52E-2</v>
      </c>
      <c r="G97" s="819">
        <v>2.53E-2</v>
      </c>
      <c r="H97" s="1151">
        <f>1.1136*1.1291*1.0538*1.0252*1.0253</f>
        <v>1.3927699204762198</v>
      </c>
      <c r="I97" s="1152"/>
      <c r="J97" s="820"/>
      <c r="L97" s="152"/>
      <c r="M97" s="140"/>
      <c r="N97" s="140"/>
      <c r="O97" s="140"/>
      <c r="P97" s="140"/>
      <c r="Q97" s="140"/>
      <c r="R97" s="226"/>
      <c r="S97" s="140"/>
      <c r="T97" s="140"/>
      <c r="U97" s="140"/>
      <c r="V97" s="143"/>
    </row>
    <row r="98" spans="1:22" ht="30" customHeight="1">
      <c r="A98" s="1099" t="s">
        <v>789</v>
      </c>
      <c r="B98" s="1100"/>
      <c r="C98" s="1100"/>
      <c r="D98" s="1100"/>
      <c r="E98" s="1100"/>
      <c r="F98" s="1100"/>
      <c r="G98" s="1100"/>
      <c r="H98" s="917"/>
      <c r="I98" s="917"/>
      <c r="J98" s="918"/>
      <c r="L98" s="152" t="s">
        <v>385</v>
      </c>
      <c r="M98" s="140"/>
      <c r="N98" s="140"/>
      <c r="O98" s="140"/>
      <c r="P98" s="140"/>
      <c r="Q98" s="140"/>
      <c r="R98" s="455"/>
      <c r="S98" s="461">
        <v>9.5</v>
      </c>
      <c r="T98" s="140"/>
      <c r="U98" s="140"/>
      <c r="V98" s="143"/>
    </row>
    <row r="99" spans="1:22">
      <c r="A99" s="916"/>
      <c r="B99" s="917"/>
      <c r="C99" s="917"/>
      <c r="D99" s="917"/>
      <c r="E99" s="917"/>
      <c r="F99" s="917"/>
      <c r="G99" s="917"/>
      <c r="H99" s="917"/>
      <c r="I99" s="917"/>
      <c r="J99" s="918"/>
      <c r="L99" s="152"/>
      <c r="M99" s="140"/>
      <c r="N99" s="140"/>
      <c r="O99" s="140"/>
      <c r="P99" s="140"/>
      <c r="Q99" s="140"/>
      <c r="R99" s="226"/>
      <c r="S99" s="140"/>
      <c r="T99" s="1126" t="s">
        <v>394</v>
      </c>
      <c r="U99" s="1126"/>
      <c r="V99" s="194">
        <f>RATE(S98, S102, -S107, S94, S104, 0.25)</f>
        <v>2.2216913826774178E-2</v>
      </c>
    </row>
    <row r="100" spans="1:22">
      <c r="A100" s="916"/>
      <c r="B100" s="917"/>
      <c r="C100" s="917"/>
      <c r="D100" s="917"/>
      <c r="E100" s="917"/>
      <c r="F100" s="917"/>
      <c r="G100" s="917"/>
      <c r="H100" s="917"/>
      <c r="I100" s="917"/>
      <c r="J100" s="918"/>
      <c r="L100" s="452" t="s">
        <v>391</v>
      </c>
      <c r="M100" s="140"/>
      <c r="N100" s="140"/>
      <c r="O100" s="140"/>
      <c r="P100" s="140"/>
      <c r="Q100" s="140"/>
      <c r="R100" s="457"/>
      <c r="S100" s="467">
        <v>4</v>
      </c>
      <c r="T100" s="1126"/>
      <c r="U100" s="1126"/>
      <c r="V100" s="468"/>
    </row>
    <row r="101" spans="1:22" ht="14.4" customHeight="1">
      <c r="A101" s="1101"/>
      <c r="B101" s="1102"/>
      <c r="C101" s="1102"/>
      <c r="D101" s="1102"/>
      <c r="E101" s="1102"/>
      <c r="F101" s="1102"/>
      <c r="G101" s="1102"/>
      <c r="H101" s="1102"/>
      <c r="I101" s="1102"/>
      <c r="J101" s="1103"/>
      <c r="L101" s="152"/>
      <c r="M101" s="140"/>
      <c r="N101" s="140"/>
      <c r="O101" s="140"/>
      <c r="P101" s="140"/>
      <c r="Q101" s="140"/>
      <c r="R101" s="226"/>
      <c r="S101" s="140"/>
      <c r="T101" s="1125" t="s">
        <v>392</v>
      </c>
      <c r="U101" s="1125"/>
      <c r="V101" s="469">
        <f>V99*S100</f>
        <v>8.8867655307096713E-2</v>
      </c>
    </row>
    <row r="102" spans="1:22" ht="14.4" customHeight="1">
      <c r="A102" s="147" t="s">
        <v>428</v>
      </c>
      <c r="B102" s="148"/>
      <c r="C102" s="148"/>
      <c r="D102" s="148"/>
      <c r="E102" s="148"/>
      <c r="F102" s="148"/>
      <c r="G102" s="148"/>
      <c r="H102" s="148"/>
      <c r="I102" s="140"/>
      <c r="J102" s="143"/>
      <c r="L102" s="452" t="s">
        <v>389</v>
      </c>
      <c r="M102" s="140"/>
      <c r="N102" s="140"/>
      <c r="O102" s="140"/>
      <c r="P102" s="140"/>
      <c r="Q102" s="140"/>
      <c r="R102" s="459"/>
      <c r="S102" s="460">
        <f>S94*S96/S100</f>
        <v>17.5</v>
      </c>
      <c r="T102" s="172"/>
      <c r="U102" s="172"/>
      <c r="V102" s="470"/>
    </row>
    <row r="103" spans="1:22">
      <c r="A103" s="147" t="s">
        <v>425</v>
      </c>
      <c r="B103" s="148"/>
      <c r="C103" s="148"/>
      <c r="D103" s="148"/>
      <c r="E103" s="148"/>
      <c r="F103" s="148"/>
      <c r="G103" s="148"/>
      <c r="H103" s="148"/>
      <c r="I103" s="821">
        <f>H95/H97-1</f>
        <v>-0.10120473265167029</v>
      </c>
      <c r="J103" s="143"/>
      <c r="L103" s="152"/>
      <c r="M103" s="140"/>
      <c r="N103" s="140"/>
      <c r="O103" s="140"/>
      <c r="P103" s="140"/>
      <c r="Q103" s="140"/>
      <c r="R103" s="226"/>
      <c r="S103" s="140"/>
      <c r="T103" s="140"/>
      <c r="U103" s="140"/>
      <c r="V103" s="143"/>
    </row>
    <row r="104" spans="1:22" ht="15" thickBot="1">
      <c r="A104" s="155" t="s">
        <v>426</v>
      </c>
      <c r="B104" s="156"/>
      <c r="C104" s="156"/>
      <c r="D104" s="156"/>
      <c r="E104" s="156"/>
      <c r="F104" s="156"/>
      <c r="G104" s="156"/>
      <c r="H104" s="156"/>
      <c r="I104" s="158"/>
      <c r="J104" s="441">
        <f>H97-1</f>
        <v>0.39276992047621984</v>
      </c>
      <c r="L104" s="152" t="s">
        <v>388</v>
      </c>
      <c r="M104" s="140"/>
      <c r="N104" s="140"/>
      <c r="O104" s="140"/>
      <c r="P104" s="140"/>
      <c r="Q104" s="140"/>
      <c r="R104" s="455"/>
      <c r="S104" s="461">
        <v>0</v>
      </c>
      <c r="T104" s="140"/>
      <c r="U104" s="140"/>
      <c r="V104" s="143"/>
    </row>
    <row r="105" spans="1:22">
      <c r="A105" s="76"/>
      <c r="B105" s="76"/>
      <c r="C105" s="76"/>
      <c r="D105" s="76"/>
      <c r="E105" s="76"/>
      <c r="F105" s="76"/>
      <c r="G105" s="76"/>
      <c r="H105" s="76"/>
      <c r="I105" s="5"/>
      <c r="J105" s="5"/>
      <c r="L105" s="152" t="s">
        <v>579</v>
      </c>
      <c r="M105" s="140"/>
      <c r="N105" s="140"/>
      <c r="O105" s="140"/>
      <c r="P105" s="140"/>
      <c r="Q105" s="140"/>
      <c r="R105" s="226"/>
      <c r="S105" s="140"/>
      <c r="T105" s="140"/>
      <c r="U105" s="140"/>
      <c r="V105" s="143"/>
    </row>
    <row r="106" spans="1:22">
      <c r="A106" s="76"/>
      <c r="B106" s="76"/>
      <c r="C106" s="76"/>
      <c r="D106" s="76"/>
      <c r="E106" s="76"/>
      <c r="F106" s="76"/>
      <c r="G106" s="76"/>
      <c r="H106" s="76"/>
      <c r="I106" s="487"/>
      <c r="J106" s="5"/>
      <c r="L106" s="152"/>
      <c r="M106" s="140"/>
      <c r="N106" s="140"/>
      <c r="O106" s="140"/>
      <c r="P106" s="140"/>
      <c r="Q106" s="140"/>
      <c r="R106" s="226"/>
      <c r="S106" s="140"/>
      <c r="T106" s="140"/>
      <c r="U106" s="140"/>
      <c r="V106" s="143"/>
    </row>
    <row r="107" spans="1:22" ht="15" thickBot="1">
      <c r="A107" s="76"/>
      <c r="B107" s="76"/>
      <c r="C107" s="76"/>
      <c r="D107" s="76"/>
      <c r="E107" s="76"/>
      <c r="F107" s="76"/>
      <c r="G107" s="76"/>
      <c r="H107" s="76"/>
      <c r="I107" s="5"/>
      <c r="J107" s="487"/>
      <c r="L107" s="464" t="s">
        <v>382</v>
      </c>
      <c r="M107" s="158"/>
      <c r="N107" s="158"/>
      <c r="O107" s="158"/>
      <c r="P107" s="158"/>
      <c r="Q107" s="158"/>
      <c r="R107" s="471"/>
      <c r="S107" s="472">
        <v>960</v>
      </c>
      <c r="T107" s="158"/>
      <c r="U107" s="158"/>
      <c r="V107" s="146"/>
    </row>
    <row r="108" spans="1:22">
      <c r="A108" s="476"/>
      <c r="B108" s="476"/>
      <c r="C108" s="476"/>
      <c r="D108" s="476"/>
      <c r="E108" s="476"/>
      <c r="F108" s="476"/>
      <c r="G108" s="476"/>
      <c r="H108" s="476"/>
      <c r="I108" s="476"/>
      <c r="J108" s="476"/>
    </row>
    <row r="109" spans="1:22" ht="15" thickBot="1"/>
    <row r="110" spans="1:22" ht="15" thickBot="1">
      <c r="A110" s="1075" t="s">
        <v>791</v>
      </c>
      <c r="B110" s="902"/>
      <c r="C110" s="902"/>
      <c r="D110" s="902"/>
      <c r="E110" s="902"/>
      <c r="F110" s="902"/>
      <c r="G110" s="902"/>
      <c r="H110" s="902"/>
      <c r="I110" s="902"/>
      <c r="J110" s="903"/>
      <c r="L110" s="901" t="s">
        <v>746</v>
      </c>
      <c r="M110" s="902"/>
      <c r="N110" s="902"/>
      <c r="O110" s="902"/>
      <c r="P110" s="902"/>
      <c r="Q110" s="902"/>
      <c r="R110" s="902"/>
      <c r="S110" s="902"/>
      <c r="T110" s="902"/>
      <c r="U110" s="903"/>
    </row>
    <row r="111" spans="1:22" ht="18" customHeight="1">
      <c r="A111" s="1076" t="s">
        <v>456</v>
      </c>
      <c r="B111" s="1077"/>
      <c r="C111" s="1077"/>
      <c r="D111" s="1077"/>
      <c r="E111" s="1077"/>
      <c r="F111" s="1077"/>
      <c r="G111" s="1077"/>
      <c r="H111" s="1077"/>
      <c r="I111" s="1077"/>
      <c r="J111" s="1078"/>
      <c r="L111" s="1131" t="s">
        <v>747</v>
      </c>
      <c r="M111" s="1132"/>
      <c r="N111" s="1132"/>
      <c r="O111" s="1132"/>
      <c r="P111" s="1132"/>
      <c r="Q111" s="1132"/>
      <c r="R111" s="1132"/>
      <c r="S111" s="1132"/>
      <c r="T111" s="1132"/>
      <c r="U111" s="1133"/>
    </row>
    <row r="112" spans="1:22">
      <c r="A112" s="1039"/>
      <c r="B112" s="1040"/>
      <c r="C112" s="1040"/>
      <c r="D112" s="1040"/>
      <c r="E112" s="1040"/>
      <c r="F112" s="1040"/>
      <c r="G112" s="1040"/>
      <c r="H112" s="1040"/>
      <c r="I112" s="1040"/>
      <c r="J112" s="1041"/>
      <c r="L112" s="1134"/>
      <c r="M112" s="1135"/>
      <c r="N112" s="1135"/>
      <c r="O112" s="1135"/>
      <c r="P112" s="1135"/>
      <c r="Q112" s="1135"/>
      <c r="R112" s="1135"/>
      <c r="S112" s="1135"/>
      <c r="T112" s="1135"/>
      <c r="U112" s="1136"/>
    </row>
    <row r="113" spans="1:21" ht="15" thickBot="1">
      <c r="A113" s="1079"/>
      <c r="B113" s="1080"/>
      <c r="C113" s="1080"/>
      <c r="D113" s="1080"/>
      <c r="E113" s="1080"/>
      <c r="F113" s="1080"/>
      <c r="G113" s="1080"/>
      <c r="H113" s="1080"/>
      <c r="I113" s="1080"/>
      <c r="J113" s="1081"/>
      <c r="L113" s="1137"/>
      <c r="M113" s="1138"/>
      <c r="N113" s="1138"/>
      <c r="O113" s="1138"/>
      <c r="P113" s="1138"/>
      <c r="Q113" s="1138"/>
      <c r="R113" s="1138"/>
      <c r="S113" s="1138"/>
      <c r="T113" s="1138"/>
      <c r="U113" s="1139"/>
    </row>
    <row r="114" spans="1:21" ht="15" thickBot="1">
      <c r="A114" s="234" t="s">
        <v>5</v>
      </c>
      <c r="B114" s="374"/>
      <c r="C114" s="374"/>
      <c r="D114" s="374"/>
      <c r="E114" s="374"/>
      <c r="F114" s="374"/>
      <c r="G114" s="132"/>
      <c r="H114" s="132"/>
      <c r="I114" s="132"/>
      <c r="J114" s="133"/>
      <c r="L114" s="234" t="s">
        <v>5</v>
      </c>
      <c r="M114" s="374"/>
      <c r="N114" s="374"/>
      <c r="O114" s="374"/>
      <c r="P114" s="374"/>
      <c r="Q114" s="374"/>
      <c r="R114" s="132"/>
      <c r="S114" s="132"/>
      <c r="T114" s="132"/>
      <c r="U114" s="133"/>
    </row>
    <row r="115" spans="1:21">
      <c r="A115" s="174" t="s">
        <v>458</v>
      </c>
      <c r="B115" s="175"/>
      <c r="C115" s="175"/>
      <c r="D115" s="175"/>
      <c r="E115" s="175"/>
      <c r="F115" s="175"/>
      <c r="G115" s="175"/>
      <c r="H115" s="175"/>
      <c r="I115" s="175"/>
      <c r="J115" s="161"/>
      <c r="L115" s="174" t="s">
        <v>748</v>
      </c>
      <c r="M115" s="175"/>
      <c r="N115" s="175"/>
      <c r="O115" s="175"/>
      <c r="P115" s="175"/>
      <c r="Q115" s="175"/>
      <c r="R115" s="175"/>
      <c r="S115" s="175"/>
      <c r="T115" s="175"/>
      <c r="U115" s="161">
        <f>1000*0.07</f>
        <v>70</v>
      </c>
    </row>
    <row r="116" spans="1:21">
      <c r="A116" s="152" t="s">
        <v>457</v>
      </c>
      <c r="B116" s="140"/>
      <c r="C116" s="140"/>
      <c r="D116" s="140"/>
      <c r="E116" s="140"/>
      <c r="F116" s="140"/>
      <c r="G116" s="140"/>
      <c r="H116" s="140"/>
      <c r="I116" s="140"/>
      <c r="J116" s="143"/>
      <c r="L116" s="152" t="s">
        <v>749</v>
      </c>
      <c r="M116" s="140"/>
      <c r="N116" s="140"/>
      <c r="O116" s="140"/>
      <c r="P116" s="140"/>
      <c r="Q116" s="140"/>
      <c r="R116" s="140"/>
      <c r="S116" s="140"/>
      <c r="T116" s="140"/>
      <c r="U116" s="143">
        <f>U115*3</f>
        <v>210</v>
      </c>
    </row>
    <row r="117" spans="1:21">
      <c r="A117" s="152" t="s">
        <v>459</v>
      </c>
      <c r="B117" s="140"/>
      <c r="C117" s="140"/>
      <c r="D117" s="140"/>
      <c r="E117" s="140"/>
      <c r="F117" s="140"/>
      <c r="G117" s="140"/>
      <c r="H117" s="140"/>
      <c r="I117" s="140"/>
      <c r="J117" s="278">
        <f>150+4</f>
        <v>154</v>
      </c>
      <c r="L117" s="152" t="s">
        <v>750</v>
      </c>
      <c r="M117" s="140"/>
      <c r="N117" s="140"/>
      <c r="O117" s="140"/>
      <c r="P117" s="140"/>
      <c r="Q117" s="140"/>
      <c r="R117" s="140"/>
      <c r="S117" s="140"/>
      <c r="T117" s="140"/>
      <c r="U117" s="278"/>
    </row>
    <row r="118" spans="1:21" ht="15" thickBot="1">
      <c r="A118" s="155" t="s">
        <v>460</v>
      </c>
      <c r="B118" s="156"/>
      <c r="C118" s="156"/>
      <c r="D118" s="156"/>
      <c r="E118" s="156"/>
      <c r="F118" s="156"/>
      <c r="G118" s="156"/>
      <c r="H118" s="156"/>
      <c r="I118" s="156"/>
      <c r="J118" s="198">
        <f>J117/140-1</f>
        <v>0.10000000000000009</v>
      </c>
      <c r="L118" s="155" t="s">
        <v>751</v>
      </c>
      <c r="M118" s="156"/>
      <c r="N118" s="156"/>
      <c r="O118" s="156"/>
      <c r="P118" s="156"/>
      <c r="Q118" s="156"/>
      <c r="R118" s="156"/>
      <c r="S118" s="156"/>
      <c r="T118" s="156"/>
      <c r="U118" s="798">
        <f>U116*0.13</f>
        <v>27.3</v>
      </c>
    </row>
    <row r="119" spans="1:21" ht="15" thickBot="1">
      <c r="L119" s="1140" t="s">
        <v>752</v>
      </c>
      <c r="M119" s="1141"/>
      <c r="N119" s="1141"/>
      <c r="O119" s="1141"/>
      <c r="P119" s="1141"/>
      <c r="Q119" s="1141"/>
      <c r="R119" s="1141"/>
      <c r="S119" s="1141"/>
      <c r="T119" s="1141"/>
      <c r="U119" s="1142"/>
    </row>
    <row r="120" spans="1:21" ht="15" thickBot="1">
      <c r="A120" s="1075" t="s">
        <v>790</v>
      </c>
      <c r="B120" s="902"/>
      <c r="C120" s="902"/>
      <c r="D120" s="902"/>
      <c r="E120" s="902"/>
      <c r="F120" s="902"/>
      <c r="G120" s="902"/>
      <c r="H120" s="902"/>
      <c r="I120" s="902"/>
      <c r="J120" s="903"/>
      <c r="L120" s="1143"/>
      <c r="M120" s="1144"/>
      <c r="N120" s="1144"/>
      <c r="O120" s="1144"/>
      <c r="P120" s="1144"/>
      <c r="Q120" s="1144"/>
      <c r="R120" s="1144"/>
      <c r="S120" s="1144"/>
      <c r="T120" s="1144"/>
      <c r="U120" s="1145"/>
    </row>
    <row r="121" spans="1:21" ht="14.4" customHeight="1">
      <c r="A121" s="852" t="s">
        <v>785</v>
      </c>
      <c r="B121" s="853"/>
      <c r="C121" s="853"/>
      <c r="D121" s="853"/>
      <c r="E121" s="853"/>
      <c r="F121" s="853"/>
      <c r="G121" s="853"/>
      <c r="H121" s="853"/>
      <c r="I121" s="853"/>
      <c r="J121" s="854"/>
      <c r="L121" s="1143"/>
      <c r="M121" s="1144"/>
      <c r="N121" s="1144"/>
      <c r="O121" s="1144"/>
      <c r="P121" s="1144"/>
      <c r="Q121" s="1144"/>
      <c r="R121" s="1144"/>
      <c r="S121" s="1144"/>
      <c r="T121" s="1144"/>
      <c r="U121" s="1145"/>
    </row>
    <row r="122" spans="1:21">
      <c r="A122" s="846"/>
      <c r="B122" s="847"/>
      <c r="C122" s="847"/>
      <c r="D122" s="847"/>
      <c r="E122" s="847"/>
      <c r="F122" s="847"/>
      <c r="G122" s="847"/>
      <c r="H122" s="847"/>
      <c r="I122" s="847"/>
      <c r="J122" s="848"/>
      <c r="L122" s="1143"/>
      <c r="M122" s="1144"/>
      <c r="N122" s="1144"/>
      <c r="O122" s="1144"/>
      <c r="P122" s="1144"/>
      <c r="Q122" s="1144"/>
      <c r="R122" s="1144"/>
      <c r="S122" s="1144"/>
      <c r="T122" s="1144"/>
      <c r="U122" s="1145"/>
    </row>
    <row r="123" spans="1:21">
      <c r="A123" s="846"/>
      <c r="B123" s="847"/>
      <c r="C123" s="847"/>
      <c r="D123" s="847"/>
      <c r="E123" s="847"/>
      <c r="F123" s="847"/>
      <c r="G123" s="847"/>
      <c r="H123" s="847"/>
      <c r="I123" s="847"/>
      <c r="J123" s="848"/>
      <c r="L123" s="1143"/>
      <c r="M123" s="1144"/>
      <c r="N123" s="1144"/>
      <c r="O123" s="1144"/>
      <c r="P123" s="1144"/>
      <c r="Q123" s="1144"/>
      <c r="R123" s="1144"/>
      <c r="S123" s="1144"/>
      <c r="T123" s="1144"/>
      <c r="U123" s="1145"/>
    </row>
    <row r="124" spans="1:21">
      <c r="A124" s="846"/>
      <c r="B124" s="847"/>
      <c r="C124" s="847"/>
      <c r="D124" s="847"/>
      <c r="E124" s="847"/>
      <c r="F124" s="847"/>
      <c r="G124" s="847"/>
      <c r="H124" s="847"/>
      <c r="I124" s="847"/>
      <c r="J124" s="848"/>
      <c r="L124" s="1143"/>
      <c r="M124" s="1144"/>
      <c r="N124" s="1144"/>
      <c r="O124" s="1144"/>
      <c r="P124" s="1144"/>
      <c r="Q124" s="1144"/>
      <c r="R124" s="1144"/>
      <c r="S124" s="1144"/>
      <c r="T124" s="1144"/>
      <c r="U124" s="1145"/>
    </row>
    <row r="125" spans="1:21">
      <c r="A125" s="846"/>
      <c r="B125" s="847"/>
      <c r="C125" s="847"/>
      <c r="D125" s="847"/>
      <c r="E125" s="847"/>
      <c r="F125" s="847"/>
      <c r="G125" s="847"/>
      <c r="H125" s="847"/>
      <c r="I125" s="847"/>
      <c r="J125" s="848"/>
      <c r="L125" s="1143"/>
      <c r="M125" s="1144"/>
      <c r="N125" s="1144"/>
      <c r="O125" s="1144"/>
      <c r="P125" s="1144"/>
      <c r="Q125" s="1144"/>
      <c r="R125" s="1144"/>
      <c r="S125" s="1144"/>
      <c r="T125" s="1144"/>
      <c r="U125" s="1145"/>
    </row>
    <row r="126" spans="1:21" ht="15" thickBot="1">
      <c r="A126" s="846"/>
      <c r="B126" s="847"/>
      <c r="C126" s="847"/>
      <c r="D126" s="847"/>
      <c r="E126" s="847"/>
      <c r="F126" s="847"/>
      <c r="G126" s="847"/>
      <c r="H126" s="847"/>
      <c r="I126" s="847"/>
      <c r="J126" s="848"/>
      <c r="L126" s="1146"/>
      <c r="M126" s="1147"/>
      <c r="N126" s="1147"/>
      <c r="O126" s="1147"/>
      <c r="P126" s="1147"/>
      <c r="Q126" s="1147"/>
      <c r="R126" s="1147"/>
      <c r="S126" s="1147"/>
      <c r="T126" s="1147"/>
      <c r="U126" s="1148"/>
    </row>
    <row r="127" spans="1:21">
      <c r="A127" s="846"/>
      <c r="B127" s="847"/>
      <c r="C127" s="847"/>
      <c r="D127" s="847"/>
      <c r="E127" s="847"/>
      <c r="F127" s="847"/>
      <c r="G127" s="847"/>
      <c r="H127" s="847"/>
      <c r="I127" s="847"/>
      <c r="J127" s="848"/>
    </row>
    <row r="128" spans="1:21">
      <c r="A128" s="846"/>
      <c r="B128" s="847"/>
      <c r="C128" s="847"/>
      <c r="D128" s="847"/>
      <c r="E128" s="847"/>
      <c r="F128" s="847"/>
      <c r="G128" s="847"/>
      <c r="H128" s="847"/>
      <c r="I128" s="847"/>
      <c r="J128" s="848"/>
    </row>
    <row r="129" spans="1:10">
      <c r="A129" s="846"/>
      <c r="B129" s="847"/>
      <c r="C129" s="847"/>
      <c r="D129" s="847"/>
      <c r="E129" s="847"/>
      <c r="F129" s="847"/>
      <c r="G129" s="847"/>
      <c r="H129" s="847"/>
      <c r="I129" s="847"/>
      <c r="J129" s="848"/>
    </row>
    <row r="130" spans="1:10" ht="15" thickBot="1">
      <c r="A130" s="846"/>
      <c r="B130" s="847"/>
      <c r="C130" s="847"/>
      <c r="D130" s="847"/>
      <c r="E130" s="847"/>
      <c r="F130" s="847"/>
      <c r="G130" s="847"/>
      <c r="H130" s="847"/>
      <c r="I130" s="847"/>
      <c r="J130" s="848"/>
    </row>
    <row r="131" spans="1:10" ht="15" thickBot="1">
      <c r="A131" s="234" t="s">
        <v>5</v>
      </c>
      <c r="B131" s="532"/>
      <c r="C131" s="532"/>
      <c r="D131" s="532"/>
      <c r="E131" s="532"/>
      <c r="F131" s="532"/>
      <c r="G131" s="532"/>
      <c r="H131" s="532"/>
      <c r="I131" s="532"/>
      <c r="J131" s="533"/>
    </row>
    <row r="132" spans="1:10">
      <c r="A132" s="230" t="s">
        <v>464</v>
      </c>
      <c r="B132" s="836"/>
      <c r="C132" s="836"/>
      <c r="D132" s="836"/>
      <c r="E132" s="836"/>
      <c r="F132" s="836"/>
      <c r="G132" s="836"/>
      <c r="H132" s="836"/>
      <c r="I132" s="836"/>
      <c r="J132" s="837"/>
    </row>
    <row r="133" spans="1:10">
      <c r="A133" s="547" t="s">
        <v>465</v>
      </c>
      <c r="B133" s="835"/>
      <c r="C133" s="835"/>
      <c r="D133" s="835"/>
      <c r="E133" s="835"/>
      <c r="F133" s="835"/>
      <c r="G133" s="835"/>
      <c r="H133" s="835"/>
      <c r="I133" s="833"/>
      <c r="J133" s="834"/>
    </row>
    <row r="134" spans="1:10">
      <c r="A134" s="232" t="s">
        <v>466</v>
      </c>
      <c r="B134" s="835"/>
      <c r="C134" s="835"/>
      <c r="D134" s="835"/>
      <c r="E134" s="835"/>
      <c r="F134" s="835"/>
      <c r="G134" s="835"/>
      <c r="H134" s="835"/>
      <c r="I134" s="833"/>
      <c r="J134" s="539">
        <f>81*0.3333+105*0.4+120*0.2667</f>
        <v>101.00129999999999</v>
      </c>
    </row>
    <row r="135" spans="1:10">
      <c r="A135" s="429" t="s">
        <v>467</v>
      </c>
      <c r="B135" s="833"/>
      <c r="C135" s="833"/>
      <c r="D135" s="833"/>
      <c r="E135" s="833"/>
      <c r="F135" s="833"/>
      <c r="G135" s="833"/>
      <c r="H135" s="833"/>
      <c r="I135" s="833"/>
      <c r="J135" s="539">
        <f>J134+5</f>
        <v>106.00129999999999</v>
      </c>
    </row>
    <row r="136" spans="1:10">
      <c r="A136" s="548" t="s">
        <v>474</v>
      </c>
      <c r="B136" s="833"/>
      <c r="C136" s="833"/>
      <c r="D136" s="833"/>
      <c r="E136" s="833"/>
      <c r="F136" s="833"/>
      <c r="G136" s="833"/>
      <c r="H136" s="833"/>
      <c r="I136" s="833"/>
      <c r="J136" s="539"/>
    </row>
    <row r="137" spans="1:10">
      <c r="A137" s="540" t="s">
        <v>463</v>
      </c>
      <c r="B137" s="538"/>
      <c r="C137" s="538"/>
      <c r="D137" s="538"/>
      <c r="E137" s="538"/>
      <c r="F137" s="538"/>
      <c r="G137" s="538"/>
      <c r="H137" s="538"/>
      <c r="I137" s="538"/>
      <c r="J137" s="541">
        <f>(J135-100)/100</f>
        <v>6.0012999999999865E-2</v>
      </c>
    </row>
    <row r="138" spans="1:10">
      <c r="A138" s="542" t="s">
        <v>461</v>
      </c>
      <c r="B138" s="537"/>
      <c r="C138" s="537"/>
      <c r="D138" s="537"/>
      <c r="E138" s="537"/>
      <c r="F138" s="537"/>
      <c r="G138" s="537"/>
      <c r="H138" s="537"/>
      <c r="I138" s="537"/>
      <c r="J138" s="543">
        <v>0.05</v>
      </c>
    </row>
    <row r="139" spans="1:10">
      <c r="A139" s="544" t="s">
        <v>472</v>
      </c>
      <c r="B139" s="545"/>
      <c r="C139" s="545"/>
      <c r="D139" s="545"/>
      <c r="E139" s="545"/>
      <c r="F139" s="545"/>
      <c r="G139" s="545"/>
      <c r="H139" s="545"/>
      <c r="I139" s="545"/>
      <c r="J139" s="546">
        <f>104/100-1</f>
        <v>4.0000000000000036E-2</v>
      </c>
    </row>
    <row r="140" spans="1:10">
      <c r="A140" s="552" t="s">
        <v>462</v>
      </c>
      <c r="B140" s="537"/>
      <c r="C140" s="537"/>
      <c r="D140" s="537"/>
      <c r="E140" s="537"/>
      <c r="F140" s="537"/>
      <c r="G140" s="537"/>
      <c r="H140" s="537"/>
      <c r="I140" s="537"/>
      <c r="J140" s="543"/>
    </row>
    <row r="141" spans="1:10">
      <c r="A141" s="553" t="s">
        <v>468</v>
      </c>
      <c r="B141" s="536"/>
      <c r="C141" s="536"/>
      <c r="D141" s="536"/>
      <c r="E141" s="536"/>
      <c r="F141" s="536"/>
      <c r="G141" s="536"/>
      <c r="H141" s="536"/>
      <c r="I141" s="536"/>
      <c r="J141" s="554"/>
    </row>
    <row r="142" spans="1:10">
      <c r="A142" s="553" t="s">
        <v>473</v>
      </c>
      <c r="B142" s="536"/>
      <c r="C142" s="536"/>
      <c r="D142" s="536"/>
      <c r="E142" s="536"/>
      <c r="F142" s="536"/>
      <c r="G142" s="536"/>
      <c r="H142" s="536"/>
      <c r="I142" s="536"/>
      <c r="J142" s="555">
        <f>104+J135</f>
        <v>210.00129999999999</v>
      </c>
    </row>
    <row r="143" spans="1:10">
      <c r="A143" s="556" t="s">
        <v>469</v>
      </c>
      <c r="B143" s="148"/>
      <c r="C143" s="148"/>
      <c r="D143" s="148"/>
      <c r="E143" s="148"/>
      <c r="F143" s="148"/>
      <c r="G143" s="148"/>
      <c r="H143" s="148"/>
      <c r="I143" s="148"/>
      <c r="J143" s="194">
        <f>(J142-200)/200</f>
        <v>5.0006499999999933E-2</v>
      </c>
    </row>
    <row r="144" spans="1:10">
      <c r="A144" s="557" t="s">
        <v>470</v>
      </c>
      <c r="B144" s="140"/>
      <c r="C144" s="140"/>
      <c r="D144" s="140"/>
      <c r="E144" s="140"/>
      <c r="F144" s="140"/>
      <c r="G144" s="140"/>
      <c r="H144" s="140"/>
      <c r="I144" s="140"/>
      <c r="J144" s="434"/>
    </row>
    <row r="145" spans="1:10" ht="15" thickBot="1">
      <c r="A145" s="558" t="s">
        <v>471</v>
      </c>
      <c r="B145" s="156"/>
      <c r="C145" s="156"/>
      <c r="D145" s="156"/>
      <c r="E145" s="156"/>
      <c r="F145" s="156"/>
      <c r="G145" s="156"/>
      <c r="H145" s="156"/>
      <c r="I145" s="156"/>
      <c r="J145" s="198">
        <f>0.5*J137+0.5*J139</f>
        <v>5.0006499999999954E-2</v>
      </c>
    </row>
    <row r="146" spans="1:10" ht="15" thickBot="1">
      <c r="A146" s="551"/>
      <c r="B146" s="549"/>
      <c r="C146" s="549"/>
      <c r="D146" s="549"/>
      <c r="E146" s="549"/>
      <c r="F146" s="549"/>
      <c r="G146" s="549"/>
      <c r="H146" s="549"/>
      <c r="I146" s="549"/>
      <c r="J146" s="550"/>
    </row>
    <row r="147" spans="1:10" ht="15" thickBot="1">
      <c r="A147" s="1075" t="s">
        <v>792</v>
      </c>
      <c r="B147" s="902"/>
      <c r="C147" s="902"/>
      <c r="D147" s="902"/>
      <c r="E147" s="902"/>
      <c r="F147" s="902"/>
      <c r="G147" s="902"/>
      <c r="H147" s="902"/>
      <c r="I147" s="902"/>
      <c r="J147" s="903"/>
    </row>
    <row r="148" spans="1:10">
      <c r="A148" s="1076" t="s">
        <v>786</v>
      </c>
      <c r="B148" s="1077"/>
      <c r="C148" s="1077"/>
      <c r="D148" s="1077"/>
      <c r="E148" s="1077"/>
      <c r="F148" s="1077"/>
      <c r="G148" s="1077"/>
      <c r="H148" s="1077"/>
      <c r="I148" s="1077"/>
      <c r="J148" s="1078"/>
    </row>
    <row r="149" spans="1:10" ht="15" thickBot="1">
      <c r="A149" s="1079"/>
      <c r="B149" s="1080"/>
      <c r="C149" s="1080"/>
      <c r="D149" s="1080"/>
      <c r="E149" s="1080"/>
      <c r="F149" s="1080"/>
      <c r="G149" s="1080"/>
      <c r="H149" s="1080"/>
      <c r="I149" s="1080"/>
      <c r="J149" s="1081"/>
    </row>
    <row r="150" spans="1:10" ht="15" thickBot="1">
      <c r="A150" s="234" t="s">
        <v>5</v>
      </c>
      <c r="B150" s="532"/>
      <c r="C150" s="532"/>
      <c r="D150" s="532"/>
      <c r="E150" s="532"/>
      <c r="F150" s="532"/>
      <c r="G150" s="532"/>
      <c r="H150" s="532"/>
      <c r="I150" s="532"/>
      <c r="J150" s="533"/>
    </row>
    <row r="151" spans="1:10">
      <c r="A151" s="174" t="s">
        <v>475</v>
      </c>
      <c r="B151" s="175"/>
      <c r="C151" s="175"/>
      <c r="D151" s="175"/>
      <c r="E151" s="175"/>
      <c r="F151" s="175"/>
      <c r="G151" s="175"/>
      <c r="H151" s="175"/>
      <c r="I151" s="175"/>
      <c r="J151" s="432">
        <f>1000*0.15</f>
        <v>150</v>
      </c>
    </row>
    <row r="152" spans="1:10">
      <c r="A152" s="147" t="s">
        <v>476</v>
      </c>
      <c r="B152" s="148"/>
      <c r="C152" s="148"/>
      <c r="D152" s="148"/>
      <c r="E152" s="148"/>
      <c r="F152" s="148"/>
      <c r="G152" s="148"/>
      <c r="H152" s="148"/>
      <c r="I152" s="148"/>
      <c r="J152" s="257"/>
    </row>
    <row r="153" spans="1:10" ht="15" thickBot="1">
      <c r="A153" s="155" t="s">
        <v>477</v>
      </c>
      <c r="B153" s="156"/>
      <c r="C153" s="156"/>
      <c r="D153" s="156"/>
      <c r="E153" s="156"/>
      <c r="F153" s="156"/>
      <c r="G153" s="156"/>
      <c r="H153" s="156"/>
      <c r="I153" s="156"/>
      <c r="J153" s="250">
        <f>5*J151</f>
        <v>750</v>
      </c>
    </row>
    <row r="154" spans="1:10" ht="15" thickBot="1">
      <c r="A154" s="135"/>
      <c r="B154" s="135"/>
      <c r="C154" s="135"/>
      <c r="D154" s="135"/>
      <c r="E154" s="135"/>
      <c r="F154" s="135"/>
      <c r="G154" s="135"/>
      <c r="H154" s="135"/>
      <c r="I154" s="135"/>
      <c r="J154" s="135"/>
    </row>
    <row r="155" spans="1:10" ht="30" customHeight="1" thickBot="1">
      <c r="A155" s="898" t="s">
        <v>793</v>
      </c>
      <c r="B155" s="902"/>
      <c r="C155" s="902"/>
      <c r="D155" s="902"/>
      <c r="E155" s="902"/>
      <c r="F155" s="902"/>
      <c r="G155" s="902"/>
      <c r="H155" s="902"/>
      <c r="I155" s="902"/>
      <c r="J155" s="903"/>
    </row>
    <row r="156" spans="1:10">
      <c r="A156" s="1076" t="s">
        <v>478</v>
      </c>
      <c r="B156" s="1077"/>
      <c r="C156" s="1077"/>
      <c r="D156" s="1077"/>
      <c r="E156" s="1077"/>
      <c r="F156" s="1077"/>
      <c r="G156" s="1077"/>
      <c r="H156" s="1077"/>
      <c r="I156" s="1077"/>
      <c r="J156" s="1078"/>
    </row>
    <row r="157" spans="1:10">
      <c r="A157" s="1039"/>
      <c r="B157" s="1040"/>
      <c r="C157" s="1040"/>
      <c r="D157" s="1040"/>
      <c r="E157" s="1040"/>
      <c r="F157" s="1040"/>
      <c r="G157" s="1040"/>
      <c r="H157" s="1040"/>
      <c r="I157" s="1040"/>
      <c r="J157" s="1041"/>
    </row>
    <row r="158" spans="1:10">
      <c r="A158" s="1039"/>
      <c r="B158" s="1040"/>
      <c r="C158" s="1040"/>
      <c r="D158" s="1040"/>
      <c r="E158" s="1040"/>
      <c r="F158" s="1040"/>
      <c r="G158" s="1040"/>
      <c r="H158" s="1040"/>
      <c r="I158" s="1040"/>
      <c r="J158" s="1041"/>
    </row>
    <row r="159" spans="1:10" ht="15" thickBot="1">
      <c r="A159" s="1079"/>
      <c r="B159" s="1080"/>
      <c r="C159" s="1080"/>
      <c r="D159" s="1080"/>
      <c r="E159" s="1080"/>
      <c r="F159" s="1080"/>
      <c r="G159" s="1080"/>
      <c r="H159" s="1080"/>
      <c r="I159" s="1080"/>
      <c r="J159" s="1081"/>
    </row>
    <row r="160" spans="1:10" ht="15" thickBot="1">
      <c r="A160" s="234" t="s">
        <v>5</v>
      </c>
      <c r="B160" s="532"/>
      <c r="C160" s="532"/>
      <c r="D160" s="532"/>
      <c r="E160" s="532"/>
      <c r="F160" s="532"/>
      <c r="G160" s="532"/>
      <c r="H160" s="532"/>
      <c r="I160" s="532"/>
      <c r="J160" s="533"/>
    </row>
    <row r="161" spans="1:22">
      <c r="A161" s="332" t="s">
        <v>664</v>
      </c>
      <c r="B161" s="559"/>
      <c r="C161" s="559"/>
      <c r="D161" s="559"/>
      <c r="E161" s="559"/>
      <c r="F161" s="559"/>
      <c r="G161" s="559"/>
      <c r="H161" s="559"/>
      <c r="I161" s="559"/>
      <c r="J161" s="560"/>
      <c r="M161" s="5"/>
      <c r="N161" s="5"/>
      <c r="O161" s="5"/>
      <c r="P161" s="5"/>
      <c r="Q161" s="5"/>
      <c r="R161" s="5"/>
      <c r="S161" s="5"/>
      <c r="T161" s="5"/>
      <c r="U161" s="5"/>
      <c r="V161" s="5"/>
    </row>
    <row r="162" spans="1:22">
      <c r="A162" s="168" t="s">
        <v>481</v>
      </c>
      <c r="B162" s="169"/>
      <c r="C162" s="169"/>
      <c r="D162" s="169"/>
      <c r="E162" s="169"/>
      <c r="F162" s="169"/>
      <c r="G162" s="169"/>
      <c r="H162" s="169"/>
      <c r="I162" s="169"/>
      <c r="J162" s="561"/>
      <c r="M162" s="5"/>
      <c r="N162" s="5"/>
      <c r="O162" s="5"/>
      <c r="P162" s="5"/>
      <c r="Q162" s="5"/>
      <c r="R162" s="5"/>
      <c r="S162" s="5"/>
      <c r="T162" s="5"/>
      <c r="U162" s="5"/>
      <c r="V162" s="5"/>
    </row>
    <row r="163" spans="1:22">
      <c r="A163" s="168" t="s">
        <v>479</v>
      </c>
      <c r="B163" s="169"/>
      <c r="C163" s="169"/>
      <c r="D163" s="169"/>
      <c r="E163" s="169"/>
      <c r="F163" s="169"/>
      <c r="G163" s="169"/>
      <c r="H163" s="169"/>
      <c r="I163" s="169"/>
      <c r="J163" s="561"/>
      <c r="M163" s="5"/>
      <c r="N163" s="5"/>
      <c r="O163" s="5"/>
      <c r="P163" s="5"/>
      <c r="Q163" s="5"/>
      <c r="R163" s="5"/>
      <c r="S163" s="5"/>
      <c r="T163" s="5"/>
      <c r="U163" s="5"/>
      <c r="V163" s="5"/>
    </row>
    <row r="164" spans="1:22">
      <c r="A164" s="168" t="s">
        <v>486</v>
      </c>
      <c r="B164" s="169"/>
      <c r="C164" s="169"/>
      <c r="D164" s="169"/>
      <c r="E164" s="169"/>
      <c r="F164" s="169"/>
      <c r="G164" s="169"/>
      <c r="H164" s="169"/>
      <c r="I164" s="169"/>
      <c r="J164" s="561"/>
      <c r="M164" s="5"/>
      <c r="N164" s="5"/>
      <c r="O164" s="5"/>
      <c r="P164" s="5"/>
      <c r="Q164" s="5"/>
      <c r="R164" s="5"/>
      <c r="S164" s="5"/>
      <c r="T164" s="5"/>
      <c r="U164" s="5"/>
      <c r="V164" s="5"/>
    </row>
    <row r="165" spans="1:22">
      <c r="A165" s="168" t="s">
        <v>480</v>
      </c>
      <c r="B165" s="1082" t="s">
        <v>482</v>
      </c>
      <c r="C165" s="1082"/>
      <c r="D165" s="1082"/>
      <c r="E165" s="1082"/>
      <c r="F165" s="1082"/>
      <c r="G165" s="1082"/>
      <c r="H165" s="1082"/>
      <c r="I165" s="1082"/>
      <c r="J165" s="1083"/>
      <c r="M165" s="5"/>
      <c r="N165" s="5"/>
      <c r="O165" s="5"/>
      <c r="P165" s="5"/>
      <c r="Q165" s="5"/>
      <c r="R165" s="5"/>
      <c r="S165" s="5"/>
      <c r="T165" s="5"/>
      <c r="U165" s="5"/>
      <c r="V165" s="5"/>
    </row>
    <row r="166" spans="1:22">
      <c r="A166" s="436" t="s">
        <v>485</v>
      </c>
      <c r="B166" s="562"/>
      <c r="C166" s="562"/>
      <c r="D166" s="562"/>
      <c r="E166" s="562"/>
      <c r="F166" s="562"/>
      <c r="G166" s="562"/>
      <c r="H166" s="562"/>
      <c r="I166" s="562"/>
      <c r="J166" s="563">
        <f>(1+0.08)*(1+0.02)-1</f>
        <v>0.10160000000000013</v>
      </c>
      <c r="M166" s="5"/>
      <c r="N166" s="5"/>
      <c r="O166" s="5"/>
      <c r="P166" s="5"/>
      <c r="Q166" s="5"/>
      <c r="R166" s="5"/>
      <c r="S166" s="5"/>
      <c r="T166" s="5"/>
      <c r="U166" s="5"/>
      <c r="V166" s="5"/>
    </row>
    <row r="167" spans="1:22">
      <c r="A167" s="147" t="s">
        <v>483</v>
      </c>
      <c r="B167" s="139"/>
      <c r="C167" s="139"/>
      <c r="D167" s="139"/>
      <c r="E167" s="139"/>
      <c r="F167" s="139"/>
      <c r="G167" s="139"/>
      <c r="H167" s="139"/>
      <c r="I167" s="139"/>
      <c r="J167" s="564"/>
      <c r="M167" s="5"/>
      <c r="N167" s="5"/>
      <c r="O167" s="5"/>
      <c r="P167" s="5"/>
      <c r="Q167" s="5"/>
      <c r="R167" s="5"/>
      <c r="S167" s="5"/>
      <c r="T167" s="5"/>
      <c r="U167" s="5"/>
      <c r="V167" s="5"/>
    </row>
    <row r="168" spans="1:22">
      <c r="A168" s="694" t="s">
        <v>484</v>
      </c>
      <c r="B168" s="139"/>
      <c r="C168" s="139"/>
      <c r="D168" s="139"/>
      <c r="E168" s="139"/>
      <c r="F168" s="139"/>
      <c r="G168" s="139"/>
      <c r="H168" s="139"/>
      <c r="I168" s="139"/>
      <c r="J168" s="564"/>
      <c r="M168" s="5"/>
      <c r="N168" s="5"/>
      <c r="O168" s="5"/>
      <c r="P168" s="5"/>
      <c r="Q168" s="5"/>
      <c r="R168" s="5"/>
      <c r="S168" s="5"/>
      <c r="T168" s="5"/>
      <c r="U168" s="5"/>
      <c r="V168" s="5"/>
    </row>
    <row r="169" spans="1:22" ht="15" thickBot="1">
      <c r="A169" s="155" t="s">
        <v>487</v>
      </c>
      <c r="B169" s="565"/>
      <c r="C169" s="565"/>
      <c r="D169" s="565"/>
      <c r="E169" s="565"/>
      <c r="F169" s="565"/>
      <c r="G169" s="565"/>
      <c r="H169" s="565"/>
      <c r="I169" s="565"/>
      <c r="J169" s="566"/>
      <c r="M169" s="5"/>
      <c r="N169" s="5"/>
      <c r="O169" s="5"/>
      <c r="P169" s="5"/>
      <c r="Q169" s="5"/>
      <c r="R169" s="5"/>
      <c r="S169" s="5"/>
      <c r="T169" s="5"/>
      <c r="U169" s="5"/>
      <c r="V169" s="5"/>
    </row>
    <row r="170" spans="1:22" ht="15" thickBot="1">
      <c r="A170" s="135"/>
      <c r="B170" s="135"/>
      <c r="C170" s="135"/>
      <c r="D170" s="135"/>
      <c r="E170" s="135"/>
      <c r="F170" s="135"/>
      <c r="G170" s="135"/>
      <c r="H170" s="135"/>
      <c r="I170" s="135"/>
      <c r="J170" s="135"/>
      <c r="M170" s="5"/>
      <c r="N170" s="5"/>
      <c r="O170" s="5"/>
      <c r="P170" s="5"/>
      <c r="Q170" s="5"/>
      <c r="R170" s="5"/>
      <c r="S170" s="5"/>
      <c r="T170" s="5"/>
      <c r="U170" s="5"/>
      <c r="V170" s="5"/>
    </row>
    <row r="171" spans="1:22" ht="28.2" customHeight="1" thickBot="1">
      <c r="A171" s="898" t="s">
        <v>794</v>
      </c>
      <c r="B171" s="902"/>
      <c r="C171" s="902"/>
      <c r="D171" s="902"/>
      <c r="E171" s="902"/>
      <c r="F171" s="902"/>
      <c r="G171" s="902"/>
      <c r="H171" s="902"/>
      <c r="I171" s="902"/>
      <c r="J171" s="903"/>
      <c r="M171" s="535"/>
      <c r="N171" s="535"/>
      <c r="O171" s="535"/>
      <c r="P171" s="535"/>
      <c r="Q171" s="535"/>
      <c r="R171" s="535"/>
      <c r="S171" s="535"/>
      <c r="T171" s="535"/>
      <c r="U171" s="534"/>
      <c r="V171" s="534"/>
    </row>
    <row r="172" spans="1:22" ht="14.4" customHeight="1">
      <c r="A172" s="852" t="s">
        <v>787</v>
      </c>
      <c r="B172" s="853"/>
      <c r="C172" s="853"/>
      <c r="D172" s="853"/>
      <c r="E172" s="853"/>
      <c r="F172" s="853"/>
      <c r="G172" s="853"/>
      <c r="H172" s="853"/>
      <c r="I172" s="853"/>
      <c r="J172" s="854"/>
      <c r="M172" s="535"/>
      <c r="N172" s="535"/>
      <c r="O172" s="535"/>
      <c r="P172" s="535"/>
      <c r="Q172" s="535"/>
      <c r="R172" s="535"/>
      <c r="S172" s="535"/>
      <c r="T172" s="535"/>
      <c r="U172" s="534"/>
      <c r="V172" s="534"/>
    </row>
    <row r="173" spans="1:22">
      <c r="A173" s="846"/>
      <c r="B173" s="847"/>
      <c r="C173" s="847"/>
      <c r="D173" s="847"/>
      <c r="E173" s="847"/>
      <c r="F173" s="847"/>
      <c r="G173" s="847"/>
      <c r="H173" s="847"/>
      <c r="I173" s="847"/>
      <c r="J173" s="848"/>
      <c r="M173" s="535"/>
      <c r="N173" s="535"/>
      <c r="O173" s="535"/>
      <c r="P173" s="535"/>
      <c r="Q173" s="535"/>
      <c r="R173" s="535"/>
      <c r="S173" s="535"/>
      <c r="T173" s="535"/>
      <c r="U173" s="534"/>
      <c r="V173" s="534"/>
    </row>
    <row r="174" spans="1:22">
      <c r="A174" s="846"/>
      <c r="B174" s="847"/>
      <c r="C174" s="847"/>
      <c r="D174" s="847"/>
      <c r="E174" s="847"/>
      <c r="F174" s="847"/>
      <c r="G174" s="847"/>
      <c r="H174" s="847"/>
      <c r="I174" s="847"/>
      <c r="J174" s="848"/>
      <c r="M174" s="535"/>
      <c r="N174" s="535"/>
      <c r="O174" s="535"/>
      <c r="P174" s="535"/>
      <c r="Q174" s="535"/>
      <c r="R174" s="535"/>
      <c r="S174" s="535"/>
      <c r="T174" s="535"/>
      <c r="U174" s="534"/>
      <c r="V174" s="534"/>
    </row>
    <row r="175" spans="1:22">
      <c r="A175" s="846"/>
      <c r="B175" s="847"/>
      <c r="C175" s="847"/>
      <c r="D175" s="847"/>
      <c r="E175" s="847"/>
      <c r="F175" s="847"/>
      <c r="G175" s="847"/>
      <c r="H175" s="847"/>
      <c r="I175" s="847"/>
      <c r="J175" s="848"/>
      <c r="M175" s="535"/>
      <c r="N175" s="535"/>
      <c r="O175" s="535"/>
      <c r="P175" s="535"/>
      <c r="Q175" s="535"/>
      <c r="R175" s="535"/>
      <c r="S175" s="535"/>
      <c r="T175" s="535"/>
      <c r="U175" s="534"/>
      <c r="V175" s="534"/>
    </row>
    <row r="176" spans="1:22" ht="15" thickBot="1">
      <c r="A176" s="849"/>
      <c r="B176" s="850"/>
      <c r="C176" s="850"/>
      <c r="D176" s="850"/>
      <c r="E176" s="850"/>
      <c r="F176" s="850"/>
      <c r="G176" s="850"/>
      <c r="H176" s="850"/>
      <c r="I176" s="850"/>
      <c r="J176" s="851"/>
      <c r="M176" s="535"/>
      <c r="N176" s="535"/>
      <c r="O176" s="535"/>
      <c r="P176" s="535"/>
      <c r="Q176" s="535"/>
      <c r="R176" s="535"/>
      <c r="S176" s="535"/>
      <c r="T176" s="535"/>
      <c r="U176" s="534"/>
      <c r="V176" s="534"/>
    </row>
    <row r="177" spans="1:22" ht="15" thickBot="1">
      <c r="A177" s="234" t="s">
        <v>5</v>
      </c>
      <c r="B177" s="532"/>
      <c r="C177" s="532"/>
      <c r="D177" s="532"/>
      <c r="E177" s="532"/>
      <c r="F177" s="532"/>
      <c r="G177" s="532"/>
      <c r="H177" s="532"/>
      <c r="I177" s="532"/>
      <c r="J177" s="533"/>
      <c r="M177" s="535"/>
      <c r="N177" s="535"/>
      <c r="O177" s="535"/>
      <c r="P177" s="535"/>
      <c r="Q177" s="535"/>
      <c r="R177" s="535"/>
      <c r="S177" s="535"/>
      <c r="T177" s="535"/>
      <c r="U177" s="534"/>
      <c r="V177" s="534"/>
    </row>
    <row r="178" spans="1:22">
      <c r="A178" s="174" t="s">
        <v>488</v>
      </c>
      <c r="B178" s="175"/>
      <c r="C178" s="175"/>
      <c r="D178" s="175"/>
      <c r="E178" s="175"/>
      <c r="F178" s="175"/>
      <c r="G178" s="175"/>
      <c r="H178" s="175"/>
      <c r="I178" s="175"/>
      <c r="J178" s="161"/>
      <c r="M178" s="535"/>
      <c r="N178" s="535"/>
      <c r="O178" s="535"/>
      <c r="P178" s="535"/>
      <c r="Q178" s="535"/>
      <c r="R178" s="535"/>
      <c r="S178" s="535"/>
      <c r="T178" s="535"/>
      <c r="U178" s="534"/>
      <c r="V178" s="534"/>
    </row>
    <row r="179" spans="1:22">
      <c r="A179" s="152" t="s">
        <v>489</v>
      </c>
      <c r="B179" s="140"/>
      <c r="C179" s="140" t="s">
        <v>491</v>
      </c>
      <c r="D179" s="140"/>
      <c r="E179" s="140"/>
      <c r="F179" s="140"/>
      <c r="G179" s="140"/>
      <c r="H179" s="140"/>
      <c r="I179" s="140"/>
      <c r="J179" s="143">
        <f>40000/4000</f>
        <v>10</v>
      </c>
      <c r="M179" s="535"/>
      <c r="N179" s="535"/>
      <c r="O179" s="535"/>
      <c r="P179" s="535"/>
      <c r="Q179" s="535"/>
      <c r="R179" s="535"/>
      <c r="S179" s="535"/>
      <c r="T179" s="535"/>
      <c r="U179" s="534"/>
      <c r="V179" s="534"/>
    </row>
    <row r="180" spans="1:22" ht="14.4" customHeight="1">
      <c r="A180" s="152" t="s">
        <v>490</v>
      </c>
      <c r="B180" s="140"/>
      <c r="C180" s="140" t="s">
        <v>492</v>
      </c>
      <c r="D180" s="140"/>
      <c r="E180" s="140"/>
      <c r="F180" s="140"/>
      <c r="G180" s="140"/>
      <c r="H180" s="140"/>
      <c r="I180" s="140"/>
      <c r="J180" s="143">
        <f>21000/700</f>
        <v>30</v>
      </c>
      <c r="M180" s="535"/>
      <c r="N180" s="535"/>
      <c r="O180" s="535"/>
      <c r="P180" s="535"/>
      <c r="Q180" s="535"/>
      <c r="R180" s="535"/>
      <c r="S180" s="535"/>
      <c r="T180" s="535"/>
      <c r="U180" s="534"/>
      <c r="V180" s="534"/>
    </row>
    <row r="181" spans="1:22">
      <c r="A181" s="147" t="s">
        <v>493</v>
      </c>
      <c r="B181" s="148"/>
      <c r="C181" s="148"/>
      <c r="D181" s="148"/>
      <c r="E181" s="148"/>
      <c r="F181" s="148"/>
      <c r="G181" s="148"/>
      <c r="H181" s="148"/>
      <c r="I181" s="148"/>
      <c r="J181" s="430"/>
      <c r="M181" s="535"/>
      <c r="N181" s="535"/>
      <c r="O181" s="535"/>
      <c r="P181" s="535"/>
      <c r="Q181" s="535"/>
      <c r="R181" s="535"/>
      <c r="S181" s="535"/>
      <c r="T181" s="535"/>
      <c r="U181" s="534"/>
      <c r="V181" s="534"/>
    </row>
    <row r="182" spans="1:22">
      <c r="A182" s="147" t="s">
        <v>494</v>
      </c>
      <c r="B182" s="148"/>
      <c r="C182" s="148"/>
      <c r="D182" s="148"/>
      <c r="E182" s="148"/>
      <c r="F182" s="148"/>
      <c r="G182" s="148"/>
      <c r="H182" s="148"/>
      <c r="I182" s="148" t="s">
        <v>495</v>
      </c>
      <c r="J182" s="257">
        <f>J179*3500+30*800</f>
        <v>59000</v>
      </c>
      <c r="M182" s="535"/>
      <c r="N182" s="535"/>
      <c r="O182" s="535"/>
      <c r="P182" s="535"/>
      <c r="Q182" s="535"/>
      <c r="R182" s="535"/>
      <c r="S182" s="535"/>
      <c r="T182" s="535"/>
      <c r="U182" s="534"/>
      <c r="V182" s="534"/>
    </row>
    <row r="183" spans="1:22">
      <c r="A183" s="147" t="s">
        <v>496</v>
      </c>
      <c r="B183" s="148"/>
      <c r="C183" s="148"/>
      <c r="D183" s="148"/>
      <c r="E183" s="148"/>
      <c r="F183" s="148"/>
      <c r="G183" s="148"/>
      <c r="H183" s="148"/>
      <c r="I183" s="148"/>
      <c r="J183" s="567">
        <f>J182-61000</f>
        <v>-2000</v>
      </c>
      <c r="M183" s="535"/>
      <c r="N183" s="535"/>
      <c r="O183" s="535"/>
      <c r="P183" s="535"/>
      <c r="Q183" s="535"/>
      <c r="R183" s="535"/>
      <c r="S183" s="535"/>
      <c r="T183" s="535"/>
      <c r="U183" s="534"/>
      <c r="V183" s="534"/>
    </row>
    <row r="184" spans="1:22" ht="15" thickBot="1">
      <c r="A184" s="155" t="s">
        <v>497</v>
      </c>
      <c r="B184" s="158"/>
      <c r="C184" s="158"/>
      <c r="D184" s="158"/>
      <c r="E184" s="158"/>
      <c r="F184" s="158"/>
      <c r="G184" s="158"/>
      <c r="H184" s="158"/>
      <c r="I184" s="158"/>
      <c r="J184" s="441">
        <f>J182/61000-1</f>
        <v>-3.2786885245901676E-2</v>
      </c>
      <c r="M184" s="535"/>
      <c r="N184" s="535"/>
      <c r="O184" s="535"/>
      <c r="P184" s="535"/>
      <c r="Q184" s="535"/>
      <c r="R184" s="535"/>
      <c r="S184" s="535"/>
      <c r="T184" s="535"/>
      <c r="U184" s="534"/>
      <c r="V184" s="534"/>
    </row>
    <row r="185" spans="1:22">
      <c r="M185" s="535"/>
      <c r="N185" s="535"/>
      <c r="O185" s="535"/>
      <c r="P185" s="535"/>
      <c r="Q185" s="535"/>
      <c r="R185" s="535"/>
      <c r="S185" s="535"/>
      <c r="T185" s="535"/>
      <c r="U185" s="534"/>
      <c r="V185" s="534"/>
    </row>
    <row r="186" spans="1:22">
      <c r="M186" s="5"/>
      <c r="N186" s="5"/>
      <c r="O186" s="5"/>
      <c r="P186" s="5"/>
      <c r="Q186" s="5"/>
      <c r="R186" s="5"/>
      <c r="S186" s="5"/>
      <c r="T186" s="5"/>
    </row>
    <row r="187" spans="1:22">
      <c r="M187" s="5"/>
      <c r="N187" s="5"/>
      <c r="O187" s="5"/>
      <c r="P187" s="5"/>
      <c r="Q187" s="5"/>
      <c r="R187" s="5"/>
      <c r="S187" s="5"/>
      <c r="T187" s="5"/>
    </row>
    <row r="188" spans="1:22">
      <c r="M188" s="5"/>
      <c r="N188" s="5"/>
      <c r="O188" s="5"/>
      <c r="P188" s="5"/>
      <c r="Q188" s="5"/>
      <c r="R188" s="5"/>
      <c r="S188" s="5"/>
      <c r="T188" s="5"/>
    </row>
    <row r="189" spans="1:22">
      <c r="M189" s="5"/>
      <c r="N189" s="5"/>
      <c r="O189" s="5"/>
      <c r="P189" s="5"/>
      <c r="Q189" s="5"/>
      <c r="R189" s="5"/>
      <c r="S189" s="5"/>
      <c r="T189" s="5"/>
    </row>
    <row r="190" spans="1:22">
      <c r="M190" s="5"/>
      <c r="N190" s="5"/>
      <c r="O190" s="5"/>
      <c r="P190" s="5"/>
      <c r="Q190" s="5"/>
      <c r="R190" s="5"/>
      <c r="S190" s="5"/>
      <c r="T190" s="5"/>
    </row>
    <row r="191" spans="1:22">
      <c r="M191" s="5"/>
      <c r="N191" s="5"/>
      <c r="O191" s="5"/>
      <c r="P191" s="5"/>
      <c r="Q191" s="5"/>
      <c r="R191" s="5"/>
      <c r="S191" s="5"/>
      <c r="T191" s="5"/>
    </row>
    <row r="192" spans="1:22">
      <c r="M192" s="5"/>
      <c r="N192" s="5"/>
      <c r="O192" s="5"/>
      <c r="P192" s="5"/>
      <c r="Q192" s="5"/>
      <c r="R192" s="5"/>
      <c r="S192" s="5"/>
      <c r="T192" s="5"/>
    </row>
  </sheetData>
  <mergeCells count="48">
    <mergeCell ref="L110:U110"/>
    <mergeCell ref="L111:U113"/>
    <mergeCell ref="L119:U126"/>
    <mergeCell ref="H95:I95"/>
    <mergeCell ref="H97:I97"/>
    <mergeCell ref="L7:V7"/>
    <mergeCell ref="L27:V27"/>
    <mergeCell ref="L28:V31"/>
    <mergeCell ref="L37:V37"/>
    <mergeCell ref="A57:J57"/>
    <mergeCell ref="L50:V52"/>
    <mergeCell ref="L49:V49"/>
    <mergeCell ref="L38:V41"/>
    <mergeCell ref="A23:J23"/>
    <mergeCell ref="A24:J33"/>
    <mergeCell ref="A74:J74"/>
    <mergeCell ref="A75:J77"/>
    <mergeCell ref="A91:J91"/>
    <mergeCell ref="H93:J93"/>
    <mergeCell ref="H92:I92"/>
    <mergeCell ref="L63:V64"/>
    <mergeCell ref="L87:V88"/>
    <mergeCell ref="L89:V93"/>
    <mergeCell ref="T101:U101"/>
    <mergeCell ref="T99:U100"/>
    <mergeCell ref="L65:V69"/>
    <mergeCell ref="A1:V3"/>
    <mergeCell ref="A4:V4"/>
    <mergeCell ref="A5:V5"/>
    <mergeCell ref="B165:J165"/>
    <mergeCell ref="A110:J110"/>
    <mergeCell ref="A111:J113"/>
    <mergeCell ref="A120:J120"/>
    <mergeCell ref="A121:J130"/>
    <mergeCell ref="A7:J7"/>
    <mergeCell ref="A8:J13"/>
    <mergeCell ref="A71:J72"/>
    <mergeCell ref="A98:J101"/>
    <mergeCell ref="L8:V9"/>
    <mergeCell ref="L19:V20"/>
    <mergeCell ref="L18:V18"/>
    <mergeCell ref="A58:J63"/>
    <mergeCell ref="A172:J176"/>
    <mergeCell ref="A171:J171"/>
    <mergeCell ref="A147:J147"/>
    <mergeCell ref="A148:J149"/>
    <mergeCell ref="A155:J155"/>
    <mergeCell ref="A156:J159"/>
  </mergeCell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073"/>
  <sheetViews>
    <sheetView workbookViewId="0">
      <selection activeCell="N15" sqref="N15"/>
    </sheetView>
  </sheetViews>
  <sheetFormatPr defaultRowHeight="14.4"/>
  <cols>
    <col min="1" max="1" width="19.6640625" customWidth="1"/>
    <col min="2" max="2" width="12.88671875" customWidth="1"/>
    <col min="3" max="3" width="1.21875" style="7" customWidth="1"/>
    <col min="4" max="4" width="10.109375" bestFit="1" customWidth="1"/>
    <col min="5" max="5" width="16.21875" bestFit="1" customWidth="1"/>
    <col min="6" max="6" width="13.109375" customWidth="1"/>
    <col min="7" max="7" width="0.6640625" customWidth="1"/>
    <col min="8" max="8" width="15.33203125" customWidth="1"/>
    <col min="9" max="9" width="12.44140625" bestFit="1" customWidth="1"/>
    <col min="10" max="10" width="17.33203125" customWidth="1"/>
    <col min="11" max="11" width="15.6640625" customWidth="1"/>
    <col min="12" max="12" width="17.44140625" customWidth="1"/>
    <col min="13" max="13" width="16" customWidth="1"/>
    <col min="14" max="14" width="15.5546875" customWidth="1"/>
    <col min="15" max="15" width="18.33203125" customWidth="1"/>
    <col min="16" max="16" width="10.109375" bestFit="1" customWidth="1"/>
    <col min="17" max="17" width="11.44140625" bestFit="1" customWidth="1"/>
    <col min="18" max="18" width="10.109375" bestFit="1" customWidth="1"/>
  </cols>
  <sheetData>
    <row r="1" spans="1:20" ht="15" thickBot="1">
      <c r="A1" s="1153" t="s">
        <v>725</v>
      </c>
      <c r="B1" s="1154"/>
      <c r="C1" s="1154"/>
      <c r="D1" s="1154"/>
      <c r="E1" s="1154"/>
      <c r="F1" s="1154"/>
      <c r="G1" s="1154"/>
      <c r="H1" s="1154"/>
      <c r="I1" s="1154"/>
      <c r="J1" s="1154"/>
      <c r="K1" s="1154"/>
      <c r="L1" s="1154"/>
      <c r="M1" s="1154"/>
      <c r="N1" s="1154"/>
      <c r="O1" s="1154"/>
      <c r="P1" s="1154"/>
      <c r="Q1" s="1154"/>
      <c r="R1" s="1154"/>
      <c r="S1" s="1154"/>
      <c r="T1" s="1155"/>
    </row>
    <row r="3" spans="1:20">
      <c r="C3" s="721"/>
    </row>
    <row r="4" spans="1:20">
      <c r="A4" s="2" t="s">
        <v>444</v>
      </c>
      <c r="C4" s="721"/>
      <c r="D4" s="568" t="s">
        <v>443</v>
      </c>
      <c r="E4" s="568" t="s">
        <v>498</v>
      </c>
    </row>
    <row r="5" spans="1:20">
      <c r="A5" s="531" t="s">
        <v>265</v>
      </c>
      <c r="B5" s="530" t="s">
        <v>442</v>
      </c>
      <c r="C5" s="721"/>
      <c r="D5" s="517" t="s">
        <v>724</v>
      </c>
      <c r="E5" s="517"/>
      <c r="F5" s="517"/>
      <c r="G5" s="517"/>
      <c r="H5" s="517"/>
      <c r="I5" s="722">
        <v>400000</v>
      </c>
    </row>
    <row r="6" spans="1:20">
      <c r="A6" s="521">
        <v>43927</v>
      </c>
      <c r="B6" s="520"/>
      <c r="C6" s="721"/>
      <c r="D6" s="771" t="s">
        <v>723</v>
      </c>
      <c r="E6" s="772"/>
      <c r="F6" s="771"/>
      <c r="G6" s="771"/>
      <c r="H6" s="771"/>
      <c r="I6" s="770">
        <v>5.5E-2</v>
      </c>
      <c r="J6" s="771" t="s">
        <v>703</v>
      </c>
      <c r="K6" s="771"/>
      <c r="L6" s="770">
        <v>0.06</v>
      </c>
    </row>
    <row r="7" spans="1:20">
      <c r="A7" s="519">
        <v>44292</v>
      </c>
      <c r="B7" s="518">
        <f>A7-A6</f>
        <v>365</v>
      </c>
      <c r="C7" s="721"/>
      <c r="D7" s="723" t="s">
        <v>722</v>
      </c>
      <c r="E7" s="7"/>
      <c r="F7" s="7"/>
      <c r="G7" s="7"/>
      <c r="H7" s="7"/>
      <c r="I7" s="7"/>
      <c r="J7" s="651" t="s">
        <v>726</v>
      </c>
    </row>
    <row r="8" spans="1:20">
      <c r="A8" s="522" t="s">
        <v>441</v>
      </c>
      <c r="B8" s="520"/>
      <c r="C8" s="721"/>
      <c r="D8" s="7" t="s">
        <v>704</v>
      </c>
      <c r="E8" s="7"/>
      <c r="F8" s="7"/>
      <c r="G8" s="7"/>
      <c r="H8" s="7"/>
    </row>
    <row r="9" spans="1:20">
      <c r="A9" s="521">
        <f>A7</f>
        <v>44292</v>
      </c>
      <c r="B9" s="520"/>
      <c r="C9" s="721"/>
      <c r="D9" s="724" t="s">
        <v>705</v>
      </c>
      <c r="E9" s="7"/>
      <c r="F9" s="723"/>
      <c r="G9" s="7"/>
      <c r="H9" s="7"/>
      <c r="I9" s="725">
        <f>52000</f>
        <v>52000</v>
      </c>
      <c r="P9" s="493"/>
      <c r="Q9" s="493"/>
      <c r="R9" s="493"/>
    </row>
    <row r="10" spans="1:20">
      <c r="A10" s="519">
        <v>44657</v>
      </c>
      <c r="B10" s="518">
        <f>A10-A9</f>
        <v>365</v>
      </c>
      <c r="C10" s="721"/>
      <c r="D10" s="7" t="s">
        <v>706</v>
      </c>
      <c r="E10" s="723"/>
      <c r="F10" s="7"/>
      <c r="G10" s="7"/>
      <c r="H10" s="7"/>
      <c r="I10" s="726"/>
    </row>
    <row r="11" spans="1:20">
      <c r="A11" s="522" t="s">
        <v>440</v>
      </c>
      <c r="B11" s="520"/>
      <c r="C11" s="721"/>
      <c r="D11" s="517" t="s">
        <v>721</v>
      </c>
      <c r="E11" s="517"/>
      <c r="F11" s="517"/>
      <c r="G11" s="517"/>
      <c r="H11" s="517"/>
      <c r="I11" s="727">
        <f>I5</f>
        <v>400000</v>
      </c>
      <c r="R11" s="523"/>
    </row>
    <row r="12" spans="1:20">
      <c r="A12" s="521">
        <f>A10</f>
        <v>44657</v>
      </c>
      <c r="B12" s="520"/>
      <c r="C12" s="721"/>
      <c r="D12" s="723" t="s">
        <v>720</v>
      </c>
      <c r="E12" s="7"/>
      <c r="F12" s="7"/>
      <c r="G12" s="7"/>
      <c r="H12" s="7"/>
      <c r="I12" s="10"/>
      <c r="J12" s="651" t="s">
        <v>766</v>
      </c>
    </row>
    <row r="13" spans="1:20">
      <c r="A13" s="519">
        <v>45022</v>
      </c>
      <c r="B13" s="518">
        <f>A13-A12</f>
        <v>365</v>
      </c>
      <c r="C13" s="721"/>
      <c r="D13" s="7" t="s">
        <v>707</v>
      </c>
      <c r="E13" s="7"/>
      <c r="F13" s="7"/>
      <c r="G13" s="7"/>
      <c r="H13" s="7"/>
      <c r="I13" s="10"/>
    </row>
    <row r="14" spans="1:20">
      <c r="A14" s="516" t="s">
        <v>439</v>
      </c>
      <c r="B14" s="515">
        <f>B13+B10+B7</f>
        <v>1095</v>
      </c>
      <c r="C14" s="721"/>
      <c r="D14" s="724" t="s">
        <v>708</v>
      </c>
      <c r="E14" s="7"/>
      <c r="F14" s="723"/>
      <c r="G14" s="7"/>
      <c r="H14" s="7"/>
      <c r="I14" s="725">
        <f>I9</f>
        <v>52000</v>
      </c>
      <c r="J14" s="651"/>
      <c r="P14" s="1"/>
    </row>
    <row r="15" spans="1:20">
      <c r="A15" s="2" t="s">
        <v>438</v>
      </c>
      <c r="C15" s="721"/>
      <c r="D15" s="7" t="s">
        <v>709</v>
      </c>
    </row>
    <row r="16" spans="1:20">
      <c r="A16" s="514" t="s">
        <v>710</v>
      </c>
      <c r="C16" s="721"/>
      <c r="D16" s="517" t="s">
        <v>719</v>
      </c>
      <c r="E16" s="728"/>
      <c r="F16" s="517"/>
      <c r="G16" s="517"/>
      <c r="H16" s="517"/>
      <c r="I16" s="727">
        <f>I11</f>
        <v>400000</v>
      </c>
    </row>
    <row r="17" spans="1:22">
      <c r="A17" s="497" t="s">
        <v>587</v>
      </c>
      <c r="B17" s="524">
        <v>1000</v>
      </c>
      <c r="C17" s="721"/>
      <c r="D17" s="723" t="s">
        <v>718</v>
      </c>
      <c r="E17" s="7"/>
      <c r="F17" s="7"/>
      <c r="G17" s="7"/>
      <c r="H17" s="7"/>
      <c r="I17" s="10"/>
      <c r="J17" s="651" t="s">
        <v>767</v>
      </c>
    </row>
    <row r="18" spans="1:22">
      <c r="A18" s="497" t="s">
        <v>437</v>
      </c>
      <c r="B18" s="513">
        <v>45154</v>
      </c>
      <c r="C18" s="721"/>
      <c r="D18" s="7" t="s">
        <v>711</v>
      </c>
      <c r="E18" s="7"/>
      <c r="F18" s="7"/>
      <c r="G18" s="7"/>
      <c r="H18" s="7"/>
      <c r="I18" s="10"/>
      <c r="M18" s="7"/>
      <c r="N18" s="7"/>
      <c r="O18" s="7"/>
      <c r="P18" s="7"/>
      <c r="Q18" s="7"/>
      <c r="R18" s="7"/>
      <c r="S18" s="7"/>
      <c r="T18" s="7"/>
      <c r="U18" s="7"/>
      <c r="V18" s="7"/>
    </row>
    <row r="19" spans="1:22">
      <c r="A19" s="497" t="s">
        <v>436</v>
      </c>
      <c r="B19" s="497">
        <v>7</v>
      </c>
      <c r="C19" s="721"/>
      <c r="D19" s="724" t="s">
        <v>712</v>
      </c>
      <c r="E19" s="7"/>
      <c r="F19" s="723"/>
      <c r="G19" s="7"/>
      <c r="H19" s="7"/>
      <c r="I19" s="725">
        <f>I14</f>
        <v>52000</v>
      </c>
      <c r="K19" s="7"/>
      <c r="L19" s="7"/>
      <c r="O19" s="7"/>
      <c r="P19" s="7"/>
      <c r="Q19" s="7"/>
      <c r="R19" s="7"/>
      <c r="S19" s="7"/>
      <c r="T19" s="7"/>
      <c r="U19" s="7"/>
      <c r="V19" s="7"/>
    </row>
    <row r="20" spans="1:22">
      <c r="A20" s="497" t="s">
        <v>434</v>
      </c>
      <c r="B20" s="524">
        <v>34.9</v>
      </c>
      <c r="C20" s="721"/>
      <c r="D20" s="768" t="s">
        <v>765</v>
      </c>
      <c r="E20" s="768"/>
      <c r="F20" s="768"/>
      <c r="G20" s="768"/>
      <c r="H20" s="768"/>
      <c r="I20" s="769"/>
      <c r="J20" s="768"/>
      <c r="K20" s="768"/>
      <c r="L20" s="768"/>
      <c r="M20" s="768"/>
      <c r="N20" s="768"/>
      <c r="O20" s="7"/>
      <c r="P20" s="7"/>
      <c r="Q20" s="7"/>
      <c r="R20" s="7"/>
      <c r="S20" s="7"/>
      <c r="T20" s="7"/>
      <c r="U20" s="7"/>
      <c r="V20" s="7"/>
    </row>
    <row r="21" spans="1:22" ht="27.6" customHeight="1">
      <c r="A21" s="729" t="s">
        <v>588</v>
      </c>
      <c r="B21" s="730"/>
      <c r="C21" s="721"/>
      <c r="D21" s="1156" t="s">
        <v>454</v>
      </c>
      <c r="E21" s="1156"/>
      <c r="F21" s="1156"/>
      <c r="H21" s="1157" t="s">
        <v>713</v>
      </c>
      <c r="I21" s="1158"/>
      <c r="J21" s="1158"/>
      <c r="K21" s="1158"/>
      <c r="L21" s="1159"/>
      <c r="M21" s="7"/>
      <c r="N21" s="7"/>
      <c r="O21" s="7"/>
      <c r="P21" s="7"/>
      <c r="Q21" s="7"/>
      <c r="R21" s="7"/>
      <c r="U21" s="7"/>
      <c r="V21" s="7"/>
    </row>
    <row r="22" spans="1:22">
      <c r="A22" s="731" t="s">
        <v>714</v>
      </c>
      <c r="B22" s="732"/>
      <c r="C22" s="721"/>
      <c r="D22" s="344" t="s">
        <v>449</v>
      </c>
      <c r="E22" s="344" t="s">
        <v>435</v>
      </c>
      <c r="F22" s="512" t="s">
        <v>455</v>
      </c>
      <c r="H22" s="511" t="s">
        <v>717</v>
      </c>
      <c r="I22" s="510"/>
      <c r="J22" s="510"/>
      <c r="K22" s="509"/>
      <c r="L22" s="508">
        <v>2E-3</v>
      </c>
      <c r="M22" s="7"/>
      <c r="N22" s="7"/>
      <c r="O22" s="507"/>
      <c r="P22" s="7"/>
      <c r="Q22" s="7"/>
      <c r="R22" s="7"/>
      <c r="U22" s="7"/>
      <c r="V22" s="7"/>
    </row>
    <row r="23" spans="1:22" ht="15" thickBot="1">
      <c r="A23" s="513">
        <v>43880</v>
      </c>
      <c r="B23" s="524"/>
      <c r="C23" s="721"/>
      <c r="D23" s="733">
        <f>A6</f>
        <v>43927</v>
      </c>
      <c r="E23" s="734">
        <v>-400000</v>
      </c>
      <c r="F23" s="735">
        <f>E23</f>
        <v>-400000</v>
      </c>
      <c r="H23" s="505" t="s">
        <v>447</v>
      </c>
      <c r="I23" s="504"/>
      <c r="J23" s="504"/>
      <c r="K23" s="503"/>
      <c r="L23" s="506">
        <v>1E-4</v>
      </c>
      <c r="M23" s="7"/>
      <c r="N23" s="500"/>
      <c r="O23" s="767"/>
      <c r="P23" s="499"/>
      <c r="Q23" s="499"/>
      <c r="R23" s="499"/>
      <c r="U23" s="498"/>
      <c r="V23" s="498"/>
    </row>
    <row r="24" spans="1:22" ht="15" thickBot="1">
      <c r="A24" s="739">
        <v>44062</v>
      </c>
      <c r="B24" s="524">
        <v>34.9</v>
      </c>
      <c r="C24" s="721"/>
      <c r="D24" s="736"/>
      <c r="E24" s="737"/>
      <c r="F24" s="738"/>
      <c r="G24" s="5"/>
      <c r="H24" s="505" t="s">
        <v>448</v>
      </c>
      <c r="I24" s="504"/>
      <c r="J24" s="504"/>
      <c r="K24" s="503"/>
      <c r="L24" s="502">
        <v>150</v>
      </c>
      <c r="M24" s="7"/>
      <c r="N24" s="500"/>
      <c r="O24" s="500"/>
      <c r="P24" s="499"/>
      <c r="Q24" s="499"/>
      <c r="R24" s="499"/>
      <c r="U24" s="498"/>
      <c r="V24" s="498"/>
    </row>
    <row r="25" spans="1:22" ht="36.6" customHeight="1" thickBot="1">
      <c r="A25" s="513">
        <v>44244</v>
      </c>
      <c r="B25" s="740">
        <v>34.9</v>
      </c>
      <c r="C25" s="721"/>
      <c r="D25" s="736">
        <f>A24</f>
        <v>44062</v>
      </c>
      <c r="E25" s="737">
        <f>N26*B24</f>
        <v>13576.099999999999</v>
      </c>
      <c r="F25" s="738">
        <f>E25/POWER(1+$M$31,(D25-$D$23)/365)</f>
        <v>12929.302579378904</v>
      </c>
      <c r="G25" s="5"/>
      <c r="H25" s="525" t="s">
        <v>715</v>
      </c>
      <c r="I25" s="525" t="s">
        <v>433</v>
      </c>
      <c r="J25" s="526" t="s">
        <v>451</v>
      </c>
      <c r="K25" s="526" t="s">
        <v>716</v>
      </c>
      <c r="L25" s="526" t="s">
        <v>589</v>
      </c>
      <c r="M25" s="526" t="s">
        <v>590</v>
      </c>
      <c r="N25" s="527" t="s">
        <v>450</v>
      </c>
      <c r="O25" s="526" t="s">
        <v>591</v>
      </c>
      <c r="P25" s="499"/>
      <c r="Q25" s="499"/>
      <c r="R25" s="499"/>
      <c r="U25" s="498"/>
      <c r="V25" s="498"/>
    </row>
    <row r="26" spans="1:22" ht="15" thickBot="1">
      <c r="A26" s="513">
        <v>44426</v>
      </c>
      <c r="B26" s="524">
        <v>34.9</v>
      </c>
      <c r="C26" s="721"/>
      <c r="D26" s="741">
        <f>A25</f>
        <v>44244</v>
      </c>
      <c r="E26" s="742">
        <f>N26*B25</f>
        <v>13576.099999999999</v>
      </c>
      <c r="F26" s="743">
        <f>E26/POWER(1+$M$31,(D26-$D$23)/365)</f>
        <v>12105.826742971793</v>
      </c>
      <c r="G26" s="5"/>
      <c r="H26" s="744">
        <f>A6</f>
        <v>43927</v>
      </c>
      <c r="I26" s="337" t="s">
        <v>432</v>
      </c>
      <c r="J26" s="524">
        <f>B24*(H26+1-A23)/(A24-A23)</f>
        <v>9.2043956043956037</v>
      </c>
      <c r="K26" s="745">
        <v>1015.75</v>
      </c>
      <c r="L26" s="746">
        <f>K26*$L$23</f>
        <v>0.101575</v>
      </c>
      <c r="M26" s="747">
        <f>K26*$L$22</f>
        <v>2.0314999999999999</v>
      </c>
      <c r="N26" s="501">
        <f>FLOOR((I5-150)/(M26+L26+K26+J26),1)</f>
        <v>389</v>
      </c>
      <c r="O26" s="528">
        <f>K26+J26</f>
        <v>1024.9543956043956</v>
      </c>
      <c r="P26" s="499"/>
      <c r="Q26" s="499"/>
      <c r="R26" s="499"/>
      <c r="U26" s="498"/>
      <c r="V26" s="498"/>
    </row>
    <row r="27" spans="1:22" ht="15" thickBot="1">
      <c r="A27" s="513">
        <v>44608</v>
      </c>
      <c r="B27" s="524">
        <v>34.9</v>
      </c>
      <c r="C27" s="721"/>
      <c r="D27" s="733">
        <v>44291</v>
      </c>
      <c r="E27" s="748">
        <v>-400000</v>
      </c>
      <c r="F27" s="749">
        <f>E27/POWER(1+$M$31,(D27-$D$23)/365)</f>
        <v>-350670.07080629753</v>
      </c>
      <c r="G27" s="5"/>
      <c r="H27" s="744">
        <f>A9</f>
        <v>44292</v>
      </c>
      <c r="I27" s="337" t="s">
        <v>432</v>
      </c>
      <c r="J27" s="524">
        <f>B26*(H27+1-A25)/(A26-A25)</f>
        <v>9.3961538461538456</v>
      </c>
      <c r="K27" s="745">
        <v>1040</v>
      </c>
      <c r="L27" s="746">
        <f>K27*$L$23</f>
        <v>0.10400000000000001</v>
      </c>
      <c r="M27" s="747">
        <f>K27*$L$22</f>
        <v>2.08</v>
      </c>
      <c r="N27" s="501">
        <f>FLOOR((I11-150)/(M27+L27+K27+J27),1)</f>
        <v>380</v>
      </c>
      <c r="O27" s="528">
        <f>K27+J27</f>
        <v>1049.3961538461538</v>
      </c>
      <c r="P27" s="499"/>
      <c r="Q27" s="499"/>
      <c r="R27" s="499"/>
      <c r="U27" s="498"/>
      <c r="V27" s="498"/>
    </row>
    <row r="28" spans="1:22" ht="15" thickBot="1">
      <c r="A28" s="513">
        <v>44790</v>
      </c>
      <c r="B28" s="524">
        <v>34.9</v>
      </c>
      <c r="C28" s="721"/>
      <c r="D28" s="759">
        <v>44286</v>
      </c>
      <c r="E28" s="758">
        <f>400000*I6</f>
        <v>22000</v>
      </c>
      <c r="F28" s="737">
        <f>E28/POWER(1+$M$31,(D28-$D$23)/365)</f>
        <v>19321.755095496275</v>
      </c>
      <c r="G28" s="5"/>
      <c r="H28" s="744">
        <f>A12</f>
        <v>44657</v>
      </c>
      <c r="I28" s="337" t="s">
        <v>432</v>
      </c>
      <c r="J28" s="524">
        <f>B28*(H28+1-A27)/(A28-A27)</f>
        <v>9.5879120879120876</v>
      </c>
      <c r="K28" s="745">
        <v>1060</v>
      </c>
      <c r="L28" s="746">
        <f>K28*$L$23</f>
        <v>0.10600000000000001</v>
      </c>
      <c r="M28" s="747">
        <f>K28*$L$22</f>
        <v>2.12</v>
      </c>
      <c r="N28" s="501">
        <f>FLOOR((I16-150)/(M28+L28+K28+J28),1)</f>
        <v>373</v>
      </c>
      <c r="O28" s="528">
        <f>K28+J28</f>
        <v>1069.5879120879122</v>
      </c>
      <c r="P28" s="499"/>
      <c r="Q28" s="499"/>
      <c r="R28" s="499"/>
      <c r="U28" s="498"/>
      <c r="V28" s="498"/>
    </row>
    <row r="29" spans="1:22" ht="15" thickBot="1">
      <c r="A29" s="513">
        <v>44972</v>
      </c>
      <c r="B29" s="524">
        <v>34.9</v>
      </c>
      <c r="C29" s="721"/>
      <c r="D29" s="736">
        <f>A26</f>
        <v>44426</v>
      </c>
      <c r="E29" s="750">
        <f>B26*(N26+N27)</f>
        <v>26838.1</v>
      </c>
      <c r="F29" s="737">
        <f>E29/POWER(1+$M$31,(D29-$D$23)/365)</f>
        <v>22407.352556612364</v>
      </c>
      <c r="M29" s="7"/>
      <c r="N29" s="500"/>
      <c r="O29" s="500"/>
      <c r="P29" s="499"/>
      <c r="Q29" s="499"/>
      <c r="R29" s="499"/>
      <c r="U29" s="498"/>
      <c r="V29" s="7"/>
    </row>
    <row r="30" spans="1:22" ht="15" thickBot="1">
      <c r="A30" s="513">
        <v>45154</v>
      </c>
      <c r="B30" s="524">
        <v>34.9</v>
      </c>
      <c r="C30" s="721"/>
      <c r="D30" s="751">
        <v>44362</v>
      </c>
      <c r="E30" s="752">
        <v>52000</v>
      </c>
      <c r="F30" s="737">
        <f>E30/POWER(1+$M$31,(D30-$D$23)/366)</f>
        <v>44450.750995245005</v>
      </c>
      <c r="K30" s="5"/>
      <c r="L30" s="766"/>
      <c r="M30" s="766"/>
      <c r="O30" s="7"/>
      <c r="P30" s="8"/>
      <c r="Q30" s="8"/>
      <c r="R30" s="8"/>
      <c r="S30" s="8"/>
      <c r="T30" s="8"/>
      <c r="U30" s="7"/>
      <c r="V30" s="7"/>
    </row>
    <row r="31" spans="1:22" ht="15.6" thickTop="1" thickBot="1">
      <c r="A31" s="513">
        <v>45154</v>
      </c>
      <c r="B31" s="524">
        <v>1000</v>
      </c>
      <c r="C31" s="721"/>
      <c r="D31" s="741">
        <f>A27</f>
        <v>44608</v>
      </c>
      <c r="E31" s="753">
        <f>B27*(N26+N27)</f>
        <v>26838.1</v>
      </c>
      <c r="F31" s="742">
        <f>E31/POWER(1+$M$31,(D31-$D$23)/366)</f>
        <v>20994.333564802408</v>
      </c>
      <c r="H31" s="497" t="s">
        <v>431</v>
      </c>
      <c r="I31" s="496">
        <f>F23+F27+F32</f>
        <v>-1058204.0871489998</v>
      </c>
      <c r="J31" s="765"/>
      <c r="K31" s="764" t="s">
        <v>453</v>
      </c>
      <c r="L31" s="763"/>
      <c r="M31" s="762">
        <v>0.14108586799259451</v>
      </c>
      <c r="N31" s="761"/>
      <c r="P31" s="8"/>
      <c r="Q31" s="8"/>
      <c r="R31" s="8"/>
      <c r="S31" s="8"/>
      <c r="T31" s="8"/>
      <c r="U31" s="7"/>
      <c r="V31" s="7"/>
    </row>
    <row r="32" spans="1:22" ht="15" thickTop="1">
      <c r="A32" s="588"/>
      <c r="B32" s="646"/>
      <c r="C32" s="721"/>
      <c r="D32" s="733">
        <v>44656</v>
      </c>
      <c r="E32" s="748">
        <v>-400000</v>
      </c>
      <c r="F32" s="749">
        <f>E32/POWER(1+$M$31,(D32-$D$23)/366)</f>
        <v>-307534.01634270244</v>
      </c>
      <c r="H32" s="495" t="s">
        <v>430</v>
      </c>
      <c r="I32" s="494">
        <f>F25+F29+F30+F31+F34+F35+F36+F37+F38+F39+F33+F28+F26</f>
        <v>1058204.0874894408</v>
      </c>
      <c r="J32" s="1"/>
      <c r="K32" s="760"/>
      <c r="L32" s="5"/>
      <c r="M32" s="760"/>
      <c r="P32" s="8"/>
      <c r="Q32" s="8"/>
      <c r="R32" s="8"/>
      <c r="S32" s="8"/>
      <c r="T32" s="8"/>
      <c r="U32" s="7"/>
      <c r="V32" s="7"/>
    </row>
    <row r="33" spans="3:20">
      <c r="C33" s="721"/>
      <c r="D33" s="759">
        <v>44651</v>
      </c>
      <c r="E33" s="758">
        <f>400000*(1+L6)^2-400000</f>
        <v>49440.000000000058</v>
      </c>
      <c r="F33" s="737">
        <f>E33/POWER(1+$M$31,(D33-$D$23)/365)</f>
        <v>38052.572980803467</v>
      </c>
      <c r="H33" s="529" t="s">
        <v>452</v>
      </c>
      <c r="I33" s="492"/>
      <c r="J33" s="1"/>
      <c r="K33" s="1"/>
      <c r="N33" s="5"/>
      <c r="P33" s="5"/>
      <c r="Q33" s="5"/>
      <c r="R33" s="5"/>
      <c r="S33" s="5"/>
      <c r="T33" s="5"/>
    </row>
    <row r="34" spans="3:20">
      <c r="C34" s="721"/>
      <c r="D34" s="736">
        <f>A28</f>
        <v>44790</v>
      </c>
      <c r="E34" s="750">
        <f>B28*(N26+N27+N28)</f>
        <v>39855.799999999996</v>
      </c>
      <c r="F34" s="737">
        <f>E34/POWER(1+$M$31,(D34-$D$23)/366)</f>
        <v>29197.072031095304</v>
      </c>
      <c r="H34" s="1"/>
      <c r="I34" s="627">
        <f>I31+I32</f>
        <v>3.4044100902974606E-4</v>
      </c>
      <c r="J34" s="529" t="s">
        <v>602</v>
      </c>
      <c r="N34" s="5"/>
      <c r="P34" s="5"/>
      <c r="Q34" s="5"/>
      <c r="R34" s="5"/>
      <c r="S34" s="5"/>
      <c r="T34" s="5"/>
    </row>
    <row r="35" spans="3:20">
      <c r="C35" s="721"/>
      <c r="D35" s="751">
        <v>44727</v>
      </c>
      <c r="E35" s="752">
        <v>52000</v>
      </c>
      <c r="F35" s="737">
        <f>E35/POWER(1+$M$31,(D35-$D$23)/365)</f>
        <v>38938.044240713985</v>
      </c>
      <c r="I35" s="492"/>
      <c r="J35" s="529" t="s">
        <v>592</v>
      </c>
      <c r="K35" s="1"/>
      <c r="P35" s="5"/>
      <c r="Q35" s="5"/>
      <c r="R35" s="5"/>
      <c r="S35" s="5"/>
      <c r="T35" s="5"/>
    </row>
    <row r="36" spans="3:20">
      <c r="C36" s="721"/>
      <c r="D36" s="741">
        <f>A29</f>
        <v>44972</v>
      </c>
      <c r="E36" s="753">
        <f>B29*(N26+N27+N28)</f>
        <v>39855.799999999996</v>
      </c>
      <c r="F36" s="737">
        <f>E36/POWER(1+$M$31,(D36-$D$23)/365)</f>
        <v>27314.193144431832</v>
      </c>
      <c r="H36" s="1"/>
      <c r="J36" s="628" t="s">
        <v>600</v>
      </c>
      <c r="P36" s="5"/>
      <c r="Q36" s="5"/>
      <c r="R36" s="5"/>
      <c r="S36" s="5"/>
      <c r="T36" s="5"/>
    </row>
    <row r="37" spans="3:20">
      <c r="C37" s="721"/>
      <c r="D37" s="736">
        <f>A30</f>
        <v>45154</v>
      </c>
      <c r="E37" s="750">
        <f>B30*(N26+N27+N28)</f>
        <v>39855.799999999996</v>
      </c>
      <c r="F37" s="757">
        <f>E37/POWER(1+$M$31,(D37-$D$23)/365)</f>
        <v>25574.534109669192</v>
      </c>
      <c r="J37" s="628" t="s">
        <v>768</v>
      </c>
    </row>
    <row r="38" spans="3:20">
      <c r="C38" s="721"/>
      <c r="D38" s="751">
        <v>45092</v>
      </c>
      <c r="E38" s="752">
        <v>52000</v>
      </c>
      <c r="F38" s="737">
        <f>E38/POWER(1+$M$31,(D38-$D$23)/365)</f>
        <v>34123.67581873048</v>
      </c>
      <c r="J38" s="529" t="s">
        <v>601</v>
      </c>
      <c r="K38" s="1"/>
    </row>
    <row r="39" spans="3:20">
      <c r="C39" s="721"/>
      <c r="D39" s="741">
        <f>A31</f>
        <v>45154</v>
      </c>
      <c r="E39" s="753">
        <f>(B31)*(N28+N27+N26)</f>
        <v>1142000</v>
      </c>
      <c r="F39" s="742">
        <f>E39/POWER(1+$M$31,(D39-$D$23)/365)</f>
        <v>732794.67362948984</v>
      </c>
    </row>
    <row r="40" spans="3:20">
      <c r="H40" s="256"/>
    </row>
    <row r="41" spans="3:20">
      <c r="D41" s="7"/>
      <c r="E41" s="256"/>
    </row>
    <row r="42" spans="3:20">
      <c r="D42" s="7"/>
      <c r="J42" s="256"/>
      <c r="K42" s="3"/>
    </row>
    <row r="43" spans="3:20">
      <c r="D43" s="7"/>
    </row>
    <row r="44" spans="3:20">
      <c r="D44" s="7"/>
      <c r="I44" s="754"/>
      <c r="J44" s="756"/>
      <c r="K44" s="756"/>
      <c r="L44" s="756"/>
      <c r="M44" s="756"/>
      <c r="N44" s="8"/>
    </row>
    <row r="45" spans="3:20">
      <c r="D45" s="7"/>
      <c r="I45" s="755"/>
      <c r="J45" s="754"/>
      <c r="K45" s="756"/>
      <c r="L45" s="756"/>
      <c r="M45" s="756"/>
      <c r="N45" s="756"/>
    </row>
    <row r="46" spans="3:20">
      <c r="D46" s="7"/>
      <c r="I46" s="755"/>
      <c r="J46" s="754"/>
      <c r="K46" s="756"/>
      <c r="L46" s="756"/>
      <c r="M46" s="756"/>
      <c r="N46" s="756"/>
    </row>
    <row r="47" spans="3:20">
      <c r="D47" s="7"/>
      <c r="I47" s="755"/>
      <c r="J47" s="754"/>
      <c r="K47" s="756"/>
      <c r="L47" s="756"/>
      <c r="M47" s="756"/>
      <c r="N47" s="756"/>
    </row>
    <row r="48" spans="3:20">
      <c r="D48" s="7"/>
      <c r="I48" s="755"/>
      <c r="J48" s="754"/>
      <c r="K48" s="756"/>
      <c r="L48" s="756"/>
      <c r="M48" s="756"/>
      <c r="N48" s="756"/>
    </row>
    <row r="49" spans="4:14">
      <c r="D49" s="7"/>
      <c r="I49" s="755"/>
      <c r="J49" s="754"/>
      <c r="K49" s="756"/>
      <c r="L49" s="756"/>
      <c r="M49" s="756"/>
      <c r="N49" s="756"/>
    </row>
    <row r="50" spans="4:14">
      <c r="D50" s="7"/>
      <c r="I50" s="755"/>
      <c r="J50" s="754"/>
      <c r="K50" s="756"/>
      <c r="L50" s="756"/>
      <c r="M50" s="756"/>
      <c r="N50" s="756"/>
    </row>
    <row r="51" spans="4:14">
      <c r="D51" s="7"/>
      <c r="I51" s="755"/>
      <c r="J51" s="754"/>
      <c r="K51" s="8"/>
      <c r="L51" s="8"/>
      <c r="M51" s="8"/>
      <c r="N51" s="8"/>
    </row>
    <row r="52" spans="4:14">
      <c r="D52" s="7"/>
    </row>
    <row r="53" spans="4:14">
      <c r="D53" s="7"/>
    </row>
    <row r="54" spans="4:14">
      <c r="D54" s="7"/>
    </row>
    <row r="55" spans="4:14">
      <c r="D55" s="7"/>
    </row>
    <row r="56" spans="4:14">
      <c r="D56" s="7"/>
    </row>
    <row r="57" spans="4:14">
      <c r="D57" s="7"/>
    </row>
    <row r="58" spans="4:14">
      <c r="D58" s="7"/>
    </row>
    <row r="59" spans="4:14">
      <c r="D59" s="7"/>
    </row>
    <row r="60" spans="4:14">
      <c r="D60" s="7"/>
    </row>
    <row r="61" spans="4:14">
      <c r="D61" s="7"/>
    </row>
    <row r="62" spans="4:14">
      <c r="D62" s="7"/>
    </row>
    <row r="63" spans="4:14">
      <c r="D63" s="7"/>
    </row>
    <row r="64" spans="4:14">
      <c r="D64" s="7"/>
    </row>
    <row r="65" spans="4:4">
      <c r="D65" s="7"/>
    </row>
    <row r="66" spans="4:4">
      <c r="D66" s="7"/>
    </row>
    <row r="67" spans="4:4">
      <c r="D67" s="7"/>
    </row>
    <row r="68" spans="4:4">
      <c r="D68" s="7"/>
    </row>
    <row r="69" spans="4:4">
      <c r="D69" s="7"/>
    </row>
    <row r="70" spans="4:4">
      <c r="D70" s="7"/>
    </row>
    <row r="71" spans="4:4">
      <c r="D71" s="7"/>
    </row>
    <row r="72" spans="4:4">
      <c r="D72" s="7"/>
    </row>
    <row r="73" spans="4:4">
      <c r="D73" s="7"/>
    </row>
    <row r="74" spans="4:4">
      <c r="D74" s="7"/>
    </row>
    <row r="75" spans="4:4">
      <c r="D75" s="7"/>
    </row>
    <row r="76" spans="4:4">
      <c r="D76" s="7"/>
    </row>
    <row r="77" spans="4:4">
      <c r="D77" s="7"/>
    </row>
    <row r="78" spans="4:4">
      <c r="D78" s="7"/>
    </row>
    <row r="79" spans="4:4">
      <c r="D79" s="7"/>
    </row>
    <row r="80" spans="4:4">
      <c r="D80" s="7"/>
    </row>
    <row r="81" spans="4:4">
      <c r="D81" s="7"/>
    </row>
    <row r="82" spans="4:4">
      <c r="D82" s="7"/>
    </row>
    <row r="83" spans="4:4">
      <c r="D83" s="7"/>
    </row>
    <row r="84" spans="4:4">
      <c r="D84" s="7"/>
    </row>
    <row r="85" spans="4:4">
      <c r="D85" s="7"/>
    </row>
    <row r="86" spans="4:4">
      <c r="D86" s="7"/>
    </row>
    <row r="87" spans="4:4">
      <c r="D87" s="7"/>
    </row>
    <row r="88" spans="4:4">
      <c r="D88" s="7"/>
    </row>
    <row r="89" spans="4:4">
      <c r="D89" s="7"/>
    </row>
    <row r="90" spans="4:4">
      <c r="D90" s="7"/>
    </row>
    <row r="91" spans="4:4">
      <c r="D91" s="7"/>
    </row>
    <row r="92" spans="4:4">
      <c r="D92" s="7"/>
    </row>
    <row r="93" spans="4:4">
      <c r="D93" s="7"/>
    </row>
    <row r="94" spans="4:4">
      <c r="D94" s="7"/>
    </row>
    <row r="95" spans="4:4">
      <c r="D95" s="7"/>
    </row>
    <row r="96" spans="4:4">
      <c r="D96" s="7"/>
    </row>
    <row r="97" spans="4:4">
      <c r="D97" s="7"/>
    </row>
    <row r="98" spans="4:4">
      <c r="D98" s="7"/>
    </row>
    <row r="99" spans="4:4">
      <c r="D99" s="7"/>
    </row>
    <row r="100" spans="4:4">
      <c r="D100" s="7"/>
    </row>
    <row r="101" spans="4:4">
      <c r="D101" s="7"/>
    </row>
    <row r="102" spans="4:4">
      <c r="D102" s="7"/>
    </row>
    <row r="103" spans="4:4">
      <c r="D103" s="7"/>
    </row>
    <row r="104" spans="4:4">
      <c r="D104" s="7"/>
    </row>
    <row r="105" spans="4:4">
      <c r="D105" s="7"/>
    </row>
    <row r="106" spans="4:4">
      <c r="D106" s="7"/>
    </row>
    <row r="107" spans="4:4">
      <c r="D107" s="7"/>
    </row>
    <row r="108" spans="4:4">
      <c r="D108" s="7"/>
    </row>
    <row r="109" spans="4:4">
      <c r="D109" s="7"/>
    </row>
    <row r="110" spans="4:4">
      <c r="D110" s="7"/>
    </row>
    <row r="111" spans="4:4">
      <c r="D111" s="7"/>
    </row>
    <row r="112" spans="4:4">
      <c r="D112" s="7"/>
    </row>
    <row r="113" spans="4:4">
      <c r="D113" s="7"/>
    </row>
    <row r="114" spans="4:4">
      <c r="D114" s="7"/>
    </row>
    <row r="115" spans="4:4">
      <c r="D115" s="7"/>
    </row>
    <row r="116" spans="4:4">
      <c r="D116" s="7"/>
    </row>
    <row r="117" spans="4:4">
      <c r="D117" s="7"/>
    </row>
    <row r="118" spans="4:4">
      <c r="D118" s="7"/>
    </row>
    <row r="119" spans="4:4">
      <c r="D119" s="7"/>
    </row>
    <row r="120" spans="4:4">
      <c r="D120" s="7"/>
    </row>
    <row r="121" spans="4:4">
      <c r="D121" s="7"/>
    </row>
    <row r="122" spans="4:4">
      <c r="D122" s="7"/>
    </row>
    <row r="123" spans="4:4">
      <c r="D123" s="7"/>
    </row>
    <row r="124" spans="4:4">
      <c r="D124" s="7"/>
    </row>
    <row r="125" spans="4:4">
      <c r="D125" s="7"/>
    </row>
    <row r="126" spans="4:4">
      <c r="D126" s="7"/>
    </row>
    <row r="127" spans="4:4">
      <c r="D127" s="7"/>
    </row>
    <row r="128" spans="4:4">
      <c r="D128" s="7"/>
    </row>
    <row r="129" spans="4:4">
      <c r="D129" s="7"/>
    </row>
    <row r="130" spans="4:4">
      <c r="D130" s="7"/>
    </row>
    <row r="131" spans="4:4">
      <c r="D131" s="7"/>
    </row>
    <row r="132" spans="4:4">
      <c r="D132" s="7"/>
    </row>
    <row r="133" spans="4:4">
      <c r="D133" s="7"/>
    </row>
    <row r="134" spans="4:4">
      <c r="D134" s="7"/>
    </row>
    <row r="135" spans="4:4">
      <c r="D135" s="7"/>
    </row>
    <row r="136" spans="4:4">
      <c r="D136" s="7"/>
    </row>
    <row r="137" spans="4:4">
      <c r="D137" s="7"/>
    </row>
    <row r="138" spans="4:4">
      <c r="D138" s="7"/>
    </row>
    <row r="139" spans="4:4">
      <c r="D139" s="7"/>
    </row>
    <row r="140" spans="4:4">
      <c r="D140" s="7"/>
    </row>
    <row r="141" spans="4:4">
      <c r="D141" s="7"/>
    </row>
    <row r="142" spans="4:4">
      <c r="D142" s="7"/>
    </row>
    <row r="143" spans="4:4">
      <c r="D143" s="7"/>
    </row>
    <row r="144" spans="4:4">
      <c r="D144" s="7"/>
    </row>
    <row r="145" spans="4:4">
      <c r="D145" s="7"/>
    </row>
    <row r="146" spans="4:4">
      <c r="D146" s="7"/>
    </row>
    <row r="147" spans="4:4">
      <c r="D147" s="7"/>
    </row>
    <row r="148" spans="4:4">
      <c r="D148" s="7"/>
    </row>
    <row r="149" spans="4:4">
      <c r="D149" s="7"/>
    </row>
    <row r="150" spans="4:4">
      <c r="D150" s="7"/>
    </row>
    <row r="151" spans="4:4">
      <c r="D151" s="7"/>
    </row>
    <row r="152" spans="4:4">
      <c r="D152" s="7"/>
    </row>
    <row r="153" spans="4:4">
      <c r="D153" s="7"/>
    </row>
    <row r="154" spans="4:4">
      <c r="D154" s="7"/>
    </row>
    <row r="155" spans="4:4">
      <c r="D155" s="7"/>
    </row>
    <row r="156" spans="4:4">
      <c r="D156" s="7"/>
    </row>
    <row r="157" spans="4:4">
      <c r="D157" s="7"/>
    </row>
    <row r="158" spans="4:4">
      <c r="D158" s="7"/>
    </row>
    <row r="159" spans="4:4">
      <c r="D159" s="7"/>
    </row>
    <row r="160" spans="4:4">
      <c r="D160" s="7"/>
    </row>
    <row r="161" spans="4:4">
      <c r="D161" s="7"/>
    </row>
    <row r="162" spans="4:4">
      <c r="D162" s="7"/>
    </row>
    <row r="163" spans="4:4">
      <c r="D163" s="7"/>
    </row>
    <row r="164" spans="4:4">
      <c r="D164" s="7"/>
    </row>
    <row r="165" spans="4:4">
      <c r="D165" s="7"/>
    </row>
    <row r="166" spans="4:4">
      <c r="D166" s="7"/>
    </row>
    <row r="167" spans="4:4">
      <c r="D167" s="7"/>
    </row>
    <row r="168" spans="4:4">
      <c r="D168" s="7"/>
    </row>
    <row r="169" spans="4:4">
      <c r="D169" s="7"/>
    </row>
    <row r="170" spans="4:4">
      <c r="D170" s="7"/>
    </row>
    <row r="171" spans="4:4">
      <c r="D171" s="7"/>
    </row>
    <row r="172" spans="4:4">
      <c r="D172" s="7"/>
    </row>
    <row r="173" spans="4:4">
      <c r="D173" s="7"/>
    </row>
    <row r="174" spans="4:4">
      <c r="D174" s="7"/>
    </row>
    <row r="175" spans="4:4">
      <c r="D175" s="7"/>
    </row>
    <row r="176" spans="4:4">
      <c r="D176" s="7"/>
    </row>
    <row r="177" spans="4:4">
      <c r="D177" s="7"/>
    </row>
    <row r="178" spans="4:4">
      <c r="D178" s="7"/>
    </row>
    <row r="179" spans="4:4">
      <c r="D179" s="7"/>
    </row>
    <row r="180" spans="4:4">
      <c r="D180" s="7"/>
    </row>
    <row r="181" spans="4:4">
      <c r="D181" s="7"/>
    </row>
    <row r="182" spans="4:4">
      <c r="D182" s="7"/>
    </row>
    <row r="183" spans="4:4">
      <c r="D183" s="7"/>
    </row>
    <row r="184" spans="4:4">
      <c r="D184" s="7"/>
    </row>
    <row r="185" spans="4:4">
      <c r="D185" s="7"/>
    </row>
    <row r="186" spans="4:4">
      <c r="D186" s="7"/>
    </row>
    <row r="187" spans="4:4">
      <c r="D187" s="7"/>
    </row>
    <row r="188" spans="4:4">
      <c r="D188" s="7"/>
    </row>
    <row r="189" spans="4:4">
      <c r="D189" s="7"/>
    </row>
    <row r="190" spans="4:4">
      <c r="D190" s="7"/>
    </row>
    <row r="191" spans="4:4">
      <c r="D191" s="7"/>
    </row>
    <row r="192" spans="4:4">
      <c r="D192" s="7"/>
    </row>
    <row r="193" spans="4:4">
      <c r="D193" s="7"/>
    </row>
    <row r="194" spans="4:4">
      <c r="D194" s="7"/>
    </row>
    <row r="195" spans="4:4">
      <c r="D195" s="7"/>
    </row>
    <row r="196" spans="4:4">
      <c r="D196" s="7"/>
    </row>
    <row r="197" spans="4:4">
      <c r="D197" s="7"/>
    </row>
    <row r="198" spans="4:4">
      <c r="D198" s="7"/>
    </row>
    <row r="199" spans="4:4">
      <c r="D199" s="7"/>
    </row>
    <row r="200" spans="4:4">
      <c r="D200" s="7"/>
    </row>
    <row r="201" spans="4:4">
      <c r="D201" s="7"/>
    </row>
    <row r="202" spans="4:4">
      <c r="D202" s="7"/>
    </row>
    <row r="203" spans="4:4">
      <c r="D203" s="7"/>
    </row>
    <row r="204" spans="4:4">
      <c r="D204" s="7"/>
    </row>
    <row r="205" spans="4:4">
      <c r="D205" s="7"/>
    </row>
    <row r="206" spans="4:4">
      <c r="D206" s="7"/>
    </row>
    <row r="207" spans="4:4">
      <c r="D207" s="7"/>
    </row>
    <row r="208" spans="4:4">
      <c r="D208" s="7"/>
    </row>
    <row r="209" spans="4:4">
      <c r="D209" s="7"/>
    </row>
    <row r="210" spans="4:4">
      <c r="D210" s="7"/>
    </row>
    <row r="211" spans="4:4">
      <c r="D211" s="7"/>
    </row>
    <row r="212" spans="4:4">
      <c r="D212" s="7"/>
    </row>
    <row r="213" spans="4:4">
      <c r="D213" s="7"/>
    </row>
    <row r="214" spans="4:4">
      <c r="D214" s="7"/>
    </row>
    <row r="215" spans="4:4">
      <c r="D215" s="7"/>
    </row>
    <row r="216" spans="4:4">
      <c r="D216" s="7"/>
    </row>
    <row r="217" spans="4:4">
      <c r="D217" s="7"/>
    </row>
    <row r="218" spans="4:4">
      <c r="D218" s="7"/>
    </row>
    <row r="219" spans="4:4">
      <c r="D219" s="7"/>
    </row>
    <row r="220" spans="4:4">
      <c r="D220" s="7"/>
    </row>
    <row r="221" spans="4:4">
      <c r="D221" s="7"/>
    </row>
    <row r="222" spans="4:4">
      <c r="D222" s="7"/>
    </row>
    <row r="223" spans="4:4">
      <c r="D223" s="7"/>
    </row>
    <row r="224" spans="4:4">
      <c r="D224" s="7"/>
    </row>
    <row r="225" spans="4:4">
      <c r="D225" s="7"/>
    </row>
    <row r="226" spans="4:4">
      <c r="D226" s="7"/>
    </row>
    <row r="227" spans="4:4">
      <c r="D227" s="7"/>
    </row>
    <row r="228" spans="4:4">
      <c r="D228" s="7"/>
    </row>
    <row r="229" spans="4:4">
      <c r="D229" s="7"/>
    </row>
    <row r="230" spans="4:4">
      <c r="D230" s="7"/>
    </row>
    <row r="231" spans="4:4">
      <c r="D231" s="7"/>
    </row>
    <row r="232" spans="4:4">
      <c r="D232" s="7"/>
    </row>
    <row r="233" spans="4:4">
      <c r="D233" s="7"/>
    </row>
    <row r="234" spans="4:4">
      <c r="D234" s="7"/>
    </row>
    <row r="235" spans="4:4">
      <c r="D235" s="7"/>
    </row>
    <row r="236" spans="4:4">
      <c r="D236" s="7"/>
    </row>
    <row r="237" spans="4:4">
      <c r="D237" s="7"/>
    </row>
    <row r="238" spans="4:4">
      <c r="D238" s="7"/>
    </row>
    <row r="239" spans="4:4">
      <c r="D239" s="7"/>
    </row>
    <row r="240" spans="4:4">
      <c r="D240" s="7"/>
    </row>
    <row r="241" spans="4:4">
      <c r="D241" s="7"/>
    </row>
    <row r="242" spans="4:4">
      <c r="D242" s="7"/>
    </row>
    <row r="243" spans="4:4">
      <c r="D243" s="7"/>
    </row>
    <row r="244" spans="4:4">
      <c r="D244" s="7"/>
    </row>
    <row r="245" spans="4:4">
      <c r="D245" s="7"/>
    </row>
    <row r="246" spans="4:4">
      <c r="D246" s="7"/>
    </row>
    <row r="247" spans="4:4">
      <c r="D247" s="7"/>
    </row>
    <row r="248" spans="4:4">
      <c r="D248" s="7"/>
    </row>
    <row r="249" spans="4:4">
      <c r="D249" s="7"/>
    </row>
    <row r="250" spans="4:4">
      <c r="D250" s="7"/>
    </row>
    <row r="251" spans="4:4">
      <c r="D251" s="7"/>
    </row>
    <row r="252" spans="4:4">
      <c r="D252" s="7"/>
    </row>
    <row r="253" spans="4:4">
      <c r="D253" s="7"/>
    </row>
    <row r="254" spans="4:4">
      <c r="D254" s="7"/>
    </row>
    <row r="255" spans="4:4">
      <c r="D255" s="7"/>
    </row>
    <row r="256" spans="4:4">
      <c r="D256" s="7"/>
    </row>
    <row r="257" spans="4:4">
      <c r="D257" s="7"/>
    </row>
    <row r="258" spans="4:4">
      <c r="D258" s="7"/>
    </row>
    <row r="259" spans="4:4">
      <c r="D259" s="7"/>
    </row>
    <row r="260" spans="4:4">
      <c r="D260" s="7"/>
    </row>
    <row r="261" spans="4:4">
      <c r="D261" s="7"/>
    </row>
    <row r="262" spans="4:4">
      <c r="D262" s="7"/>
    </row>
    <row r="263" spans="4:4">
      <c r="D263" s="7"/>
    </row>
    <row r="264" spans="4:4">
      <c r="D264" s="7"/>
    </row>
    <row r="265" spans="4:4">
      <c r="D265" s="7"/>
    </row>
    <row r="266" spans="4:4">
      <c r="D266" s="7"/>
    </row>
    <row r="267" spans="4:4">
      <c r="D267" s="7"/>
    </row>
    <row r="268" spans="4:4">
      <c r="D268" s="7"/>
    </row>
    <row r="269" spans="4:4">
      <c r="D269" s="7"/>
    </row>
    <row r="270" spans="4:4">
      <c r="D270" s="7"/>
    </row>
    <row r="271" spans="4:4">
      <c r="D271" s="7"/>
    </row>
    <row r="272" spans="4:4">
      <c r="D272" s="7"/>
    </row>
    <row r="273" spans="4:4">
      <c r="D273" s="7"/>
    </row>
    <row r="274" spans="4:4">
      <c r="D274" s="7"/>
    </row>
    <row r="275" spans="4:4">
      <c r="D275" s="7"/>
    </row>
    <row r="276" spans="4:4">
      <c r="D276" s="7"/>
    </row>
    <row r="277" spans="4:4">
      <c r="D277" s="7"/>
    </row>
    <row r="278" spans="4:4">
      <c r="D278" s="7"/>
    </row>
    <row r="279" spans="4:4">
      <c r="D279" s="7"/>
    </row>
    <row r="280" spans="4:4">
      <c r="D280" s="7"/>
    </row>
    <row r="281" spans="4:4">
      <c r="D281" s="7"/>
    </row>
    <row r="282" spans="4:4">
      <c r="D282" s="7"/>
    </row>
    <row r="283" spans="4:4">
      <c r="D283" s="7"/>
    </row>
    <row r="284" spans="4:4">
      <c r="D284" s="7"/>
    </row>
    <row r="285" spans="4:4">
      <c r="D285" s="7"/>
    </row>
    <row r="286" spans="4:4">
      <c r="D286" s="7"/>
    </row>
    <row r="287" spans="4:4">
      <c r="D287" s="7"/>
    </row>
    <row r="288" spans="4:4">
      <c r="D288" s="7"/>
    </row>
    <row r="289" spans="4:4">
      <c r="D289" s="7"/>
    </row>
    <row r="290" spans="4:4">
      <c r="D290" s="7"/>
    </row>
    <row r="291" spans="4:4">
      <c r="D291" s="7"/>
    </row>
    <row r="292" spans="4:4">
      <c r="D292" s="7"/>
    </row>
    <row r="293" spans="4:4">
      <c r="D293" s="7"/>
    </row>
    <row r="294" spans="4:4">
      <c r="D294" s="7"/>
    </row>
    <row r="295" spans="4:4">
      <c r="D295" s="7"/>
    </row>
    <row r="296" spans="4:4">
      <c r="D296" s="7"/>
    </row>
    <row r="297" spans="4:4">
      <c r="D297" s="7"/>
    </row>
    <row r="298" spans="4:4">
      <c r="D298" s="7"/>
    </row>
    <row r="299" spans="4:4">
      <c r="D299" s="7"/>
    </row>
    <row r="300" spans="4:4">
      <c r="D300" s="7"/>
    </row>
    <row r="301" spans="4:4">
      <c r="D301" s="7"/>
    </row>
    <row r="302" spans="4:4">
      <c r="D302" s="7"/>
    </row>
    <row r="303" spans="4:4">
      <c r="D303" s="7"/>
    </row>
    <row r="304" spans="4:4">
      <c r="D304" s="7"/>
    </row>
    <row r="305" spans="4:4">
      <c r="D305" s="7"/>
    </row>
    <row r="306" spans="4:4">
      <c r="D306" s="7"/>
    </row>
    <row r="307" spans="4:4">
      <c r="D307" s="7"/>
    </row>
    <row r="308" spans="4:4">
      <c r="D308" s="7"/>
    </row>
    <row r="309" spans="4:4">
      <c r="D309" s="7"/>
    </row>
    <row r="310" spans="4:4">
      <c r="D310" s="7"/>
    </row>
    <row r="311" spans="4:4">
      <c r="D311" s="7"/>
    </row>
    <row r="312" spans="4:4">
      <c r="D312" s="7"/>
    </row>
    <row r="313" spans="4:4">
      <c r="D313" s="7"/>
    </row>
    <row r="314" spans="4:4">
      <c r="D314" s="7"/>
    </row>
    <row r="315" spans="4:4">
      <c r="D315" s="7"/>
    </row>
    <row r="316" spans="4:4">
      <c r="D316" s="7"/>
    </row>
    <row r="317" spans="4:4">
      <c r="D317" s="7"/>
    </row>
    <row r="318" spans="4:4">
      <c r="D318" s="7"/>
    </row>
    <row r="319" spans="4:4">
      <c r="D319" s="7"/>
    </row>
    <row r="320" spans="4:4">
      <c r="D320" s="7"/>
    </row>
    <row r="321" spans="4:4">
      <c r="D321" s="7"/>
    </row>
    <row r="322" spans="4:4">
      <c r="D322" s="7"/>
    </row>
    <row r="323" spans="4:4">
      <c r="D323" s="7"/>
    </row>
    <row r="324" spans="4:4">
      <c r="D324" s="7"/>
    </row>
    <row r="325" spans="4:4">
      <c r="D325" s="7"/>
    </row>
    <row r="326" spans="4:4">
      <c r="D326" s="7"/>
    </row>
    <row r="327" spans="4:4">
      <c r="D327" s="7"/>
    </row>
    <row r="328" spans="4:4">
      <c r="D328" s="7"/>
    </row>
    <row r="329" spans="4:4">
      <c r="D329" s="7"/>
    </row>
    <row r="330" spans="4:4">
      <c r="D330" s="7"/>
    </row>
    <row r="331" spans="4:4">
      <c r="D331" s="7"/>
    </row>
    <row r="332" spans="4:4">
      <c r="D332" s="7"/>
    </row>
    <row r="333" spans="4:4">
      <c r="D333" s="7"/>
    </row>
    <row r="334" spans="4:4">
      <c r="D334" s="7"/>
    </row>
    <row r="335" spans="4:4">
      <c r="D335" s="7"/>
    </row>
    <row r="336" spans="4:4">
      <c r="D336" s="7"/>
    </row>
    <row r="337" spans="4:4">
      <c r="D337" s="7"/>
    </row>
    <row r="338" spans="4:4">
      <c r="D338" s="7"/>
    </row>
    <row r="339" spans="4:4">
      <c r="D339" s="7"/>
    </row>
    <row r="340" spans="4:4">
      <c r="D340" s="7"/>
    </row>
    <row r="341" spans="4:4">
      <c r="D341" s="7"/>
    </row>
    <row r="342" spans="4:4">
      <c r="D342" s="7"/>
    </row>
    <row r="343" spans="4:4">
      <c r="D343" s="7"/>
    </row>
    <row r="344" spans="4:4">
      <c r="D344" s="7"/>
    </row>
    <row r="345" spans="4:4">
      <c r="D345" s="7"/>
    </row>
    <row r="346" spans="4:4">
      <c r="D346" s="7"/>
    </row>
    <row r="347" spans="4:4">
      <c r="D347" s="7"/>
    </row>
    <row r="348" spans="4:4">
      <c r="D348" s="7"/>
    </row>
    <row r="349" spans="4:4">
      <c r="D349" s="7"/>
    </row>
    <row r="350" spans="4:4">
      <c r="D350" s="7"/>
    </row>
    <row r="351" spans="4:4">
      <c r="D351" s="7"/>
    </row>
    <row r="352" spans="4:4">
      <c r="D352" s="7"/>
    </row>
    <row r="353" spans="4:4">
      <c r="D353" s="7"/>
    </row>
    <row r="354" spans="4:4">
      <c r="D354" s="7"/>
    </row>
    <row r="355" spans="4:4">
      <c r="D355" s="7"/>
    </row>
    <row r="356" spans="4:4">
      <c r="D356" s="7"/>
    </row>
    <row r="357" spans="4:4">
      <c r="D357" s="7"/>
    </row>
    <row r="358" spans="4:4">
      <c r="D358" s="7"/>
    </row>
    <row r="359" spans="4:4">
      <c r="D359" s="7"/>
    </row>
    <row r="360" spans="4:4">
      <c r="D360" s="7"/>
    </row>
    <row r="361" spans="4:4">
      <c r="D361" s="7"/>
    </row>
    <row r="362" spans="4:4">
      <c r="D362" s="7"/>
    </row>
    <row r="363" spans="4:4">
      <c r="D363" s="7"/>
    </row>
    <row r="364" spans="4:4">
      <c r="D364" s="7"/>
    </row>
    <row r="365" spans="4:4">
      <c r="D365" s="7"/>
    </row>
    <row r="366" spans="4:4">
      <c r="D366" s="7"/>
    </row>
    <row r="367" spans="4:4">
      <c r="D367" s="7"/>
    </row>
    <row r="368" spans="4:4">
      <c r="D368" s="7"/>
    </row>
    <row r="369" spans="4:4">
      <c r="D369" s="7"/>
    </row>
    <row r="370" spans="4:4">
      <c r="D370" s="7"/>
    </row>
    <row r="371" spans="4:4">
      <c r="D371" s="7"/>
    </row>
    <row r="372" spans="4:4">
      <c r="D372" s="7"/>
    </row>
    <row r="373" spans="4:4">
      <c r="D373" s="7"/>
    </row>
    <row r="374" spans="4:4">
      <c r="D374" s="7"/>
    </row>
    <row r="375" spans="4:4">
      <c r="D375" s="7"/>
    </row>
    <row r="376" spans="4:4">
      <c r="D376" s="7"/>
    </row>
    <row r="377" spans="4:4">
      <c r="D377" s="7"/>
    </row>
    <row r="378" spans="4:4">
      <c r="D378" s="7"/>
    </row>
    <row r="379" spans="4:4">
      <c r="D379" s="7"/>
    </row>
    <row r="380" spans="4:4">
      <c r="D380" s="7"/>
    </row>
    <row r="381" spans="4:4">
      <c r="D381" s="7"/>
    </row>
    <row r="382" spans="4:4">
      <c r="D382" s="7"/>
    </row>
    <row r="383" spans="4:4">
      <c r="D383" s="7"/>
    </row>
    <row r="384" spans="4:4">
      <c r="D384" s="7"/>
    </row>
    <row r="385" spans="4:4">
      <c r="D385" s="7"/>
    </row>
    <row r="386" spans="4:4">
      <c r="D386" s="7"/>
    </row>
    <row r="387" spans="4:4">
      <c r="D387" s="7"/>
    </row>
    <row r="388" spans="4:4">
      <c r="D388" s="7"/>
    </row>
    <row r="389" spans="4:4">
      <c r="D389" s="7"/>
    </row>
    <row r="390" spans="4:4">
      <c r="D390" s="7"/>
    </row>
    <row r="391" spans="4:4">
      <c r="D391" s="7"/>
    </row>
    <row r="392" spans="4:4">
      <c r="D392" s="7"/>
    </row>
    <row r="393" spans="4:4">
      <c r="D393" s="7"/>
    </row>
    <row r="394" spans="4:4">
      <c r="D394" s="7"/>
    </row>
    <row r="395" spans="4:4">
      <c r="D395" s="7"/>
    </row>
    <row r="396" spans="4:4">
      <c r="D396" s="7"/>
    </row>
    <row r="397" spans="4:4">
      <c r="D397" s="7"/>
    </row>
    <row r="398" spans="4:4">
      <c r="D398" s="7"/>
    </row>
    <row r="399" spans="4:4">
      <c r="D399" s="7"/>
    </row>
    <row r="400" spans="4:4">
      <c r="D400" s="7"/>
    </row>
    <row r="401" spans="4:4">
      <c r="D401" s="7"/>
    </row>
    <row r="402" spans="4:4">
      <c r="D402" s="7"/>
    </row>
    <row r="403" spans="4:4">
      <c r="D403" s="7"/>
    </row>
    <row r="404" spans="4:4">
      <c r="D404" s="7"/>
    </row>
    <row r="405" spans="4:4">
      <c r="D405" s="7"/>
    </row>
    <row r="406" spans="4:4">
      <c r="D406" s="7"/>
    </row>
    <row r="407" spans="4:4">
      <c r="D407" s="7"/>
    </row>
    <row r="408" spans="4:4">
      <c r="D408" s="7"/>
    </row>
    <row r="409" spans="4:4">
      <c r="D409" s="7"/>
    </row>
    <row r="410" spans="4:4">
      <c r="D410" s="7"/>
    </row>
    <row r="411" spans="4:4">
      <c r="D411" s="7"/>
    </row>
    <row r="412" spans="4:4">
      <c r="D412" s="7"/>
    </row>
    <row r="413" spans="4:4">
      <c r="D413" s="7"/>
    </row>
    <row r="414" spans="4:4">
      <c r="D414" s="7"/>
    </row>
    <row r="415" spans="4:4">
      <c r="D415" s="7"/>
    </row>
    <row r="416" spans="4:4">
      <c r="D416" s="7"/>
    </row>
    <row r="417" spans="4:4">
      <c r="D417" s="7"/>
    </row>
    <row r="418" spans="4:4">
      <c r="D418" s="7"/>
    </row>
    <row r="419" spans="4:4">
      <c r="D419" s="7"/>
    </row>
    <row r="420" spans="4:4">
      <c r="D420" s="7"/>
    </row>
    <row r="421" spans="4:4">
      <c r="D421" s="7"/>
    </row>
    <row r="422" spans="4:4">
      <c r="D422" s="7"/>
    </row>
    <row r="423" spans="4:4">
      <c r="D423" s="7"/>
    </row>
    <row r="424" spans="4:4">
      <c r="D424" s="7"/>
    </row>
    <row r="425" spans="4:4">
      <c r="D425" s="7"/>
    </row>
    <row r="426" spans="4:4">
      <c r="D426" s="7"/>
    </row>
    <row r="427" spans="4:4">
      <c r="D427" s="7"/>
    </row>
    <row r="428" spans="4:4">
      <c r="D428" s="7"/>
    </row>
    <row r="429" spans="4:4">
      <c r="D429" s="7"/>
    </row>
    <row r="430" spans="4:4">
      <c r="D430" s="7"/>
    </row>
    <row r="431" spans="4:4">
      <c r="D431" s="7"/>
    </row>
    <row r="432" spans="4:4">
      <c r="D432" s="7"/>
    </row>
    <row r="433" spans="4:4">
      <c r="D433" s="7"/>
    </row>
    <row r="434" spans="4:4">
      <c r="D434" s="7"/>
    </row>
    <row r="435" spans="4:4">
      <c r="D435" s="7"/>
    </row>
    <row r="436" spans="4:4">
      <c r="D436" s="7"/>
    </row>
    <row r="437" spans="4:4">
      <c r="D437" s="7"/>
    </row>
    <row r="438" spans="4:4">
      <c r="D438" s="7"/>
    </row>
    <row r="439" spans="4:4">
      <c r="D439" s="7"/>
    </row>
    <row r="440" spans="4:4">
      <c r="D440" s="7"/>
    </row>
    <row r="441" spans="4:4">
      <c r="D441" s="7"/>
    </row>
    <row r="442" spans="4:4">
      <c r="D442" s="7"/>
    </row>
    <row r="443" spans="4:4">
      <c r="D443" s="7"/>
    </row>
    <row r="444" spans="4:4">
      <c r="D444" s="7"/>
    </row>
    <row r="445" spans="4:4">
      <c r="D445" s="7"/>
    </row>
    <row r="446" spans="4:4">
      <c r="D446" s="7"/>
    </row>
    <row r="447" spans="4:4">
      <c r="D447" s="7"/>
    </row>
    <row r="448" spans="4:4">
      <c r="D448" s="7"/>
    </row>
    <row r="449" spans="4:4">
      <c r="D449" s="7"/>
    </row>
    <row r="450" spans="4:4">
      <c r="D450" s="7"/>
    </row>
    <row r="451" spans="4:4">
      <c r="D451" s="7"/>
    </row>
    <row r="452" spans="4:4">
      <c r="D452" s="7"/>
    </row>
    <row r="453" spans="4:4">
      <c r="D453" s="7"/>
    </row>
    <row r="454" spans="4:4">
      <c r="D454" s="7"/>
    </row>
    <row r="455" spans="4:4">
      <c r="D455" s="7"/>
    </row>
    <row r="456" spans="4:4">
      <c r="D456" s="7"/>
    </row>
    <row r="457" spans="4:4">
      <c r="D457" s="7"/>
    </row>
    <row r="458" spans="4:4">
      <c r="D458" s="7"/>
    </row>
    <row r="459" spans="4:4">
      <c r="D459" s="7"/>
    </row>
    <row r="460" spans="4:4">
      <c r="D460" s="7"/>
    </row>
    <row r="461" spans="4:4">
      <c r="D461" s="7"/>
    </row>
    <row r="462" spans="4:4">
      <c r="D462" s="7"/>
    </row>
    <row r="463" spans="4:4">
      <c r="D463" s="7"/>
    </row>
    <row r="464" spans="4:4">
      <c r="D464" s="7"/>
    </row>
    <row r="465" spans="4:4">
      <c r="D465" s="7"/>
    </row>
    <row r="466" spans="4:4">
      <c r="D466" s="7"/>
    </row>
    <row r="467" spans="4:4">
      <c r="D467" s="7"/>
    </row>
    <row r="468" spans="4:4">
      <c r="D468" s="7"/>
    </row>
    <row r="469" spans="4:4">
      <c r="D469" s="7"/>
    </row>
    <row r="470" spans="4:4">
      <c r="D470" s="7"/>
    </row>
    <row r="471" spans="4:4">
      <c r="D471" s="7"/>
    </row>
    <row r="472" spans="4:4">
      <c r="D472" s="7"/>
    </row>
    <row r="473" spans="4:4">
      <c r="D473" s="7"/>
    </row>
    <row r="474" spans="4:4">
      <c r="D474" s="7"/>
    </row>
    <row r="475" spans="4:4">
      <c r="D475" s="7"/>
    </row>
    <row r="476" spans="4:4">
      <c r="D476" s="7"/>
    </row>
    <row r="477" spans="4:4">
      <c r="D477" s="7"/>
    </row>
    <row r="478" spans="4:4">
      <c r="D478" s="7"/>
    </row>
    <row r="479" spans="4:4">
      <c r="D479" s="7"/>
    </row>
    <row r="480" spans="4:4">
      <c r="D480" s="7"/>
    </row>
    <row r="481" spans="4:4">
      <c r="D481" s="7"/>
    </row>
    <row r="482" spans="4:4">
      <c r="D482" s="7"/>
    </row>
    <row r="483" spans="4:4">
      <c r="D483" s="7"/>
    </row>
    <row r="484" spans="4:4">
      <c r="D484" s="7"/>
    </row>
    <row r="485" spans="4:4">
      <c r="D485" s="7"/>
    </row>
    <row r="486" spans="4:4">
      <c r="D486" s="7"/>
    </row>
    <row r="487" spans="4:4">
      <c r="D487" s="7"/>
    </row>
    <row r="488" spans="4:4">
      <c r="D488" s="7"/>
    </row>
    <row r="489" spans="4:4">
      <c r="D489" s="7"/>
    </row>
    <row r="490" spans="4:4">
      <c r="D490" s="7"/>
    </row>
    <row r="491" spans="4:4">
      <c r="D491" s="7"/>
    </row>
    <row r="492" spans="4:4">
      <c r="D492" s="7"/>
    </row>
    <row r="493" spans="4:4">
      <c r="D493" s="7"/>
    </row>
    <row r="494" spans="4:4">
      <c r="D494" s="7"/>
    </row>
    <row r="495" spans="4:4">
      <c r="D495" s="7"/>
    </row>
    <row r="496" spans="4:4">
      <c r="D496" s="7"/>
    </row>
    <row r="497" spans="4:4">
      <c r="D497" s="7"/>
    </row>
    <row r="498" spans="4:4">
      <c r="D498" s="7"/>
    </row>
    <row r="499" spans="4:4">
      <c r="D499" s="7"/>
    </row>
    <row r="500" spans="4:4">
      <c r="D500" s="7"/>
    </row>
    <row r="501" spans="4:4">
      <c r="D501" s="7"/>
    </row>
    <row r="502" spans="4:4">
      <c r="D502" s="7"/>
    </row>
    <row r="503" spans="4:4">
      <c r="D503" s="7"/>
    </row>
    <row r="504" spans="4:4">
      <c r="D504" s="7"/>
    </row>
    <row r="505" spans="4:4">
      <c r="D505" s="7"/>
    </row>
    <row r="506" spans="4:4">
      <c r="D506" s="7"/>
    </row>
    <row r="507" spans="4:4">
      <c r="D507" s="7"/>
    </row>
    <row r="508" spans="4:4">
      <c r="D508" s="7"/>
    </row>
    <row r="509" spans="4:4">
      <c r="D509" s="7"/>
    </row>
    <row r="510" spans="4:4">
      <c r="D510" s="7"/>
    </row>
    <row r="511" spans="4:4">
      <c r="D511" s="7"/>
    </row>
    <row r="512" spans="4:4">
      <c r="D512" s="7"/>
    </row>
    <row r="513" spans="4:4">
      <c r="D513" s="7"/>
    </row>
    <row r="514" spans="4:4">
      <c r="D514" s="7"/>
    </row>
    <row r="515" spans="4:4">
      <c r="D515" s="7"/>
    </row>
    <row r="516" spans="4:4">
      <c r="D516" s="7"/>
    </row>
    <row r="517" spans="4:4">
      <c r="D517" s="7"/>
    </row>
    <row r="518" spans="4:4">
      <c r="D518" s="7"/>
    </row>
    <row r="519" spans="4:4">
      <c r="D519" s="7"/>
    </row>
    <row r="520" spans="4:4">
      <c r="D520" s="7"/>
    </row>
    <row r="521" spans="4:4">
      <c r="D521" s="7"/>
    </row>
    <row r="522" spans="4:4">
      <c r="D522" s="7"/>
    </row>
    <row r="523" spans="4:4">
      <c r="D523" s="7"/>
    </row>
    <row r="524" spans="4:4">
      <c r="D524" s="7"/>
    </row>
    <row r="525" spans="4:4">
      <c r="D525" s="7"/>
    </row>
    <row r="526" spans="4:4">
      <c r="D526" s="7"/>
    </row>
    <row r="527" spans="4:4">
      <c r="D527" s="7"/>
    </row>
    <row r="528" spans="4:4">
      <c r="D528" s="7"/>
    </row>
    <row r="529" spans="4:4">
      <c r="D529" s="7"/>
    </row>
    <row r="530" spans="4:4">
      <c r="D530" s="7"/>
    </row>
    <row r="531" spans="4:4">
      <c r="D531" s="7"/>
    </row>
    <row r="532" spans="4:4">
      <c r="D532" s="7"/>
    </row>
    <row r="533" spans="4:4">
      <c r="D533" s="7"/>
    </row>
    <row r="534" spans="4:4">
      <c r="D534" s="7"/>
    </row>
    <row r="535" spans="4:4">
      <c r="D535" s="7"/>
    </row>
    <row r="536" spans="4:4">
      <c r="D536" s="7"/>
    </row>
    <row r="537" spans="4:4">
      <c r="D537" s="7"/>
    </row>
    <row r="538" spans="4:4">
      <c r="D538" s="7"/>
    </row>
    <row r="539" spans="4:4">
      <c r="D539" s="7"/>
    </row>
    <row r="540" spans="4:4">
      <c r="D540" s="7"/>
    </row>
    <row r="541" spans="4:4">
      <c r="D541" s="7"/>
    </row>
    <row r="542" spans="4:4">
      <c r="D542" s="7"/>
    </row>
    <row r="543" spans="4:4">
      <c r="D543" s="7"/>
    </row>
    <row r="544" spans="4:4">
      <c r="D544" s="7"/>
    </row>
    <row r="545" spans="4:4">
      <c r="D545" s="7"/>
    </row>
    <row r="546" spans="4:4">
      <c r="D546" s="7"/>
    </row>
    <row r="547" spans="4:4">
      <c r="D547" s="7"/>
    </row>
    <row r="548" spans="4:4">
      <c r="D548" s="7"/>
    </row>
    <row r="549" spans="4:4">
      <c r="D549" s="7"/>
    </row>
    <row r="550" spans="4:4">
      <c r="D550" s="7"/>
    </row>
    <row r="551" spans="4:4">
      <c r="D551" s="7"/>
    </row>
    <row r="552" spans="4:4">
      <c r="D552" s="7"/>
    </row>
    <row r="553" spans="4:4">
      <c r="D553" s="7"/>
    </row>
    <row r="554" spans="4:4">
      <c r="D554" s="7"/>
    </row>
    <row r="555" spans="4:4">
      <c r="D555" s="7"/>
    </row>
    <row r="556" spans="4:4">
      <c r="D556" s="7"/>
    </row>
    <row r="557" spans="4:4">
      <c r="D557" s="7"/>
    </row>
    <row r="558" spans="4:4">
      <c r="D558" s="7"/>
    </row>
    <row r="559" spans="4:4">
      <c r="D559" s="7"/>
    </row>
    <row r="560" spans="4:4">
      <c r="D560" s="7"/>
    </row>
    <row r="561" spans="4:4">
      <c r="D561" s="7"/>
    </row>
    <row r="562" spans="4:4">
      <c r="D562" s="7"/>
    </row>
    <row r="563" spans="4:4">
      <c r="D563" s="7"/>
    </row>
    <row r="564" spans="4:4">
      <c r="D564" s="7"/>
    </row>
    <row r="565" spans="4:4">
      <c r="D565" s="7"/>
    </row>
    <row r="566" spans="4:4">
      <c r="D566" s="7"/>
    </row>
    <row r="567" spans="4:4">
      <c r="D567" s="7"/>
    </row>
    <row r="568" spans="4:4">
      <c r="D568" s="7"/>
    </row>
    <row r="569" spans="4:4">
      <c r="D569" s="7"/>
    </row>
    <row r="570" spans="4:4">
      <c r="D570" s="7"/>
    </row>
    <row r="571" spans="4:4">
      <c r="D571" s="7"/>
    </row>
    <row r="572" spans="4:4">
      <c r="D572" s="7"/>
    </row>
    <row r="573" spans="4:4">
      <c r="D573" s="7"/>
    </row>
    <row r="574" spans="4:4">
      <c r="D574" s="7"/>
    </row>
    <row r="575" spans="4:4">
      <c r="D575" s="7"/>
    </row>
    <row r="576" spans="4:4">
      <c r="D576" s="7"/>
    </row>
    <row r="577" spans="4:4">
      <c r="D577" s="7"/>
    </row>
    <row r="578" spans="4:4">
      <c r="D578" s="7"/>
    </row>
    <row r="579" spans="4:4">
      <c r="D579" s="7"/>
    </row>
    <row r="580" spans="4:4">
      <c r="D580" s="7"/>
    </row>
    <row r="581" spans="4:4">
      <c r="D581" s="7"/>
    </row>
    <row r="582" spans="4:4">
      <c r="D582" s="7"/>
    </row>
    <row r="583" spans="4:4">
      <c r="D583" s="7"/>
    </row>
    <row r="584" spans="4:4">
      <c r="D584" s="7"/>
    </row>
    <row r="585" spans="4:4">
      <c r="D585" s="7"/>
    </row>
    <row r="586" spans="4:4">
      <c r="D586" s="7"/>
    </row>
    <row r="587" spans="4:4">
      <c r="D587" s="7"/>
    </row>
    <row r="588" spans="4:4">
      <c r="D588" s="7"/>
    </row>
    <row r="589" spans="4:4">
      <c r="D589" s="7"/>
    </row>
    <row r="590" spans="4:4">
      <c r="D590" s="7"/>
    </row>
    <row r="591" spans="4:4">
      <c r="D591" s="7"/>
    </row>
    <row r="592" spans="4:4">
      <c r="D592" s="7"/>
    </row>
    <row r="593" spans="4:4">
      <c r="D593" s="7"/>
    </row>
    <row r="594" spans="4:4">
      <c r="D594" s="7"/>
    </row>
    <row r="595" spans="4:4">
      <c r="D595" s="7"/>
    </row>
    <row r="596" spans="4:4">
      <c r="D596" s="7"/>
    </row>
    <row r="597" spans="4:4">
      <c r="D597" s="7"/>
    </row>
    <row r="598" spans="4:4">
      <c r="D598" s="7"/>
    </row>
    <row r="599" spans="4:4">
      <c r="D599" s="7"/>
    </row>
    <row r="600" spans="4:4">
      <c r="D600" s="7"/>
    </row>
    <row r="601" spans="4:4">
      <c r="D601" s="7"/>
    </row>
    <row r="602" spans="4:4">
      <c r="D602" s="7"/>
    </row>
    <row r="603" spans="4:4">
      <c r="D603" s="7"/>
    </row>
    <row r="604" spans="4:4">
      <c r="D604" s="7"/>
    </row>
    <row r="605" spans="4:4">
      <c r="D605" s="7"/>
    </row>
    <row r="606" spans="4:4">
      <c r="D606" s="7"/>
    </row>
    <row r="607" spans="4:4">
      <c r="D607" s="7"/>
    </row>
    <row r="608" spans="4:4">
      <c r="D608" s="7"/>
    </row>
    <row r="609" spans="4:4">
      <c r="D609" s="7"/>
    </row>
    <row r="610" spans="4:4">
      <c r="D610" s="7"/>
    </row>
    <row r="611" spans="4:4">
      <c r="D611" s="7"/>
    </row>
    <row r="612" spans="4:4">
      <c r="D612" s="7"/>
    </row>
    <row r="613" spans="4:4">
      <c r="D613" s="7"/>
    </row>
    <row r="614" spans="4:4">
      <c r="D614" s="7"/>
    </row>
    <row r="615" spans="4:4">
      <c r="D615" s="7"/>
    </row>
    <row r="616" spans="4:4">
      <c r="D616" s="7"/>
    </row>
    <row r="617" spans="4:4">
      <c r="D617" s="7"/>
    </row>
    <row r="618" spans="4:4">
      <c r="D618" s="7"/>
    </row>
    <row r="619" spans="4:4">
      <c r="D619" s="7"/>
    </row>
    <row r="620" spans="4:4">
      <c r="D620" s="7"/>
    </row>
    <row r="621" spans="4:4">
      <c r="D621" s="7"/>
    </row>
    <row r="622" spans="4:4">
      <c r="D622" s="7"/>
    </row>
    <row r="623" spans="4:4">
      <c r="D623" s="7"/>
    </row>
    <row r="624" spans="4:4">
      <c r="D624" s="7"/>
    </row>
    <row r="625" spans="4:4">
      <c r="D625" s="7"/>
    </row>
    <row r="626" spans="4:4">
      <c r="D626" s="7"/>
    </row>
    <row r="627" spans="4:4">
      <c r="D627" s="7"/>
    </row>
    <row r="628" spans="4:4">
      <c r="D628" s="7"/>
    </row>
    <row r="629" spans="4:4">
      <c r="D629" s="7"/>
    </row>
    <row r="630" spans="4:4">
      <c r="D630" s="7"/>
    </row>
    <row r="631" spans="4:4">
      <c r="D631" s="7"/>
    </row>
    <row r="632" spans="4:4">
      <c r="D632" s="7"/>
    </row>
    <row r="633" spans="4:4">
      <c r="D633" s="7"/>
    </row>
    <row r="634" spans="4:4">
      <c r="D634" s="7"/>
    </row>
    <row r="635" spans="4:4">
      <c r="D635" s="7"/>
    </row>
    <row r="636" spans="4:4">
      <c r="D636" s="7"/>
    </row>
    <row r="637" spans="4:4">
      <c r="D637" s="7"/>
    </row>
    <row r="638" spans="4:4">
      <c r="D638" s="7"/>
    </row>
    <row r="639" spans="4:4">
      <c r="D639" s="7"/>
    </row>
    <row r="640" spans="4:4">
      <c r="D640" s="7"/>
    </row>
    <row r="641" spans="4:4">
      <c r="D641" s="7"/>
    </row>
    <row r="642" spans="4:4">
      <c r="D642" s="7"/>
    </row>
    <row r="643" spans="4:4">
      <c r="D643" s="7"/>
    </row>
    <row r="644" spans="4:4">
      <c r="D644" s="7"/>
    </row>
    <row r="645" spans="4:4">
      <c r="D645" s="7"/>
    </row>
    <row r="646" spans="4:4">
      <c r="D646" s="7"/>
    </row>
    <row r="647" spans="4:4">
      <c r="D647" s="7"/>
    </row>
    <row r="648" spans="4:4">
      <c r="D648" s="7"/>
    </row>
    <row r="649" spans="4:4">
      <c r="D649" s="7"/>
    </row>
    <row r="650" spans="4:4">
      <c r="D650" s="7"/>
    </row>
    <row r="651" spans="4:4">
      <c r="D651" s="7"/>
    </row>
    <row r="652" spans="4:4">
      <c r="D652" s="7"/>
    </row>
    <row r="653" spans="4:4">
      <c r="D653" s="7"/>
    </row>
    <row r="654" spans="4:4">
      <c r="D654" s="7"/>
    </row>
    <row r="655" spans="4:4">
      <c r="D655" s="7"/>
    </row>
    <row r="656" spans="4:4">
      <c r="D656" s="7"/>
    </row>
    <row r="657" spans="4:4">
      <c r="D657" s="7"/>
    </row>
    <row r="658" spans="4:4">
      <c r="D658" s="7"/>
    </row>
    <row r="659" spans="4:4">
      <c r="D659" s="7"/>
    </row>
    <row r="660" spans="4:4">
      <c r="D660" s="7"/>
    </row>
    <row r="661" spans="4:4">
      <c r="D661" s="7"/>
    </row>
    <row r="662" spans="4:4">
      <c r="D662" s="7"/>
    </row>
    <row r="663" spans="4:4">
      <c r="D663" s="7"/>
    </row>
    <row r="664" spans="4:4">
      <c r="D664" s="7"/>
    </row>
    <row r="665" spans="4:4">
      <c r="D665" s="7"/>
    </row>
    <row r="666" spans="4:4">
      <c r="D666" s="7"/>
    </row>
    <row r="667" spans="4:4">
      <c r="D667" s="7"/>
    </row>
    <row r="668" spans="4:4">
      <c r="D668" s="7"/>
    </row>
    <row r="669" spans="4:4">
      <c r="D669" s="7"/>
    </row>
    <row r="670" spans="4:4">
      <c r="D670" s="7"/>
    </row>
    <row r="671" spans="4:4">
      <c r="D671" s="7"/>
    </row>
    <row r="672" spans="4:4">
      <c r="D672" s="7"/>
    </row>
    <row r="673" spans="4:4">
      <c r="D673" s="7"/>
    </row>
    <row r="674" spans="4:4">
      <c r="D674" s="7"/>
    </row>
    <row r="675" spans="4:4">
      <c r="D675" s="7"/>
    </row>
    <row r="676" spans="4:4">
      <c r="D676" s="7"/>
    </row>
    <row r="677" spans="4:4">
      <c r="D677" s="7"/>
    </row>
    <row r="678" spans="4:4">
      <c r="D678" s="7"/>
    </row>
    <row r="679" spans="4:4">
      <c r="D679" s="7"/>
    </row>
    <row r="680" spans="4:4">
      <c r="D680" s="7"/>
    </row>
    <row r="681" spans="4:4">
      <c r="D681" s="7"/>
    </row>
    <row r="682" spans="4:4">
      <c r="D682" s="7"/>
    </row>
    <row r="683" spans="4:4">
      <c r="D683" s="7"/>
    </row>
    <row r="684" spans="4:4">
      <c r="D684" s="7"/>
    </row>
    <row r="685" spans="4:4">
      <c r="D685" s="7"/>
    </row>
    <row r="686" spans="4:4">
      <c r="D686" s="7"/>
    </row>
    <row r="687" spans="4:4">
      <c r="D687" s="7"/>
    </row>
    <row r="688" spans="4:4">
      <c r="D688" s="7"/>
    </row>
    <row r="689" spans="4:4">
      <c r="D689" s="7"/>
    </row>
    <row r="690" spans="4:4">
      <c r="D690" s="7"/>
    </row>
    <row r="691" spans="4:4">
      <c r="D691" s="7"/>
    </row>
    <row r="692" spans="4:4">
      <c r="D692" s="7"/>
    </row>
    <row r="693" spans="4:4">
      <c r="D693" s="7"/>
    </row>
    <row r="694" spans="4:4">
      <c r="D694" s="7"/>
    </row>
    <row r="695" spans="4:4">
      <c r="D695" s="7"/>
    </row>
    <row r="696" spans="4:4">
      <c r="D696" s="7"/>
    </row>
    <row r="697" spans="4:4">
      <c r="D697" s="7"/>
    </row>
    <row r="698" spans="4:4">
      <c r="D698" s="7"/>
    </row>
    <row r="699" spans="4:4">
      <c r="D699" s="7"/>
    </row>
    <row r="700" spans="4:4">
      <c r="D700" s="7"/>
    </row>
    <row r="701" spans="4:4">
      <c r="D701" s="7"/>
    </row>
    <row r="702" spans="4:4">
      <c r="D702" s="7"/>
    </row>
    <row r="703" spans="4:4">
      <c r="D703" s="7"/>
    </row>
    <row r="704" spans="4:4">
      <c r="D704" s="7"/>
    </row>
    <row r="705" spans="4:4">
      <c r="D705" s="7"/>
    </row>
    <row r="706" spans="4:4">
      <c r="D706" s="7"/>
    </row>
    <row r="707" spans="4:4">
      <c r="D707" s="7"/>
    </row>
    <row r="708" spans="4:4">
      <c r="D708" s="7"/>
    </row>
    <row r="709" spans="4:4">
      <c r="D709" s="7"/>
    </row>
    <row r="710" spans="4:4">
      <c r="D710" s="7"/>
    </row>
    <row r="711" spans="4:4">
      <c r="D711" s="7"/>
    </row>
    <row r="712" spans="4:4">
      <c r="D712" s="7"/>
    </row>
    <row r="713" spans="4:4">
      <c r="D713" s="7"/>
    </row>
    <row r="714" spans="4:4">
      <c r="D714" s="7"/>
    </row>
    <row r="715" spans="4:4">
      <c r="D715" s="7"/>
    </row>
    <row r="716" spans="4:4">
      <c r="D716" s="7"/>
    </row>
    <row r="717" spans="4:4">
      <c r="D717" s="7"/>
    </row>
    <row r="718" spans="4:4">
      <c r="D718" s="7"/>
    </row>
    <row r="719" spans="4:4">
      <c r="D719" s="7"/>
    </row>
    <row r="720" spans="4:4">
      <c r="D720" s="7"/>
    </row>
    <row r="721" spans="4:4">
      <c r="D721" s="7"/>
    </row>
    <row r="722" spans="4:4">
      <c r="D722" s="7"/>
    </row>
    <row r="723" spans="4:4">
      <c r="D723" s="7"/>
    </row>
    <row r="724" spans="4:4">
      <c r="D724" s="7"/>
    </row>
    <row r="725" spans="4:4">
      <c r="D725" s="7"/>
    </row>
    <row r="726" spans="4:4">
      <c r="D726" s="7"/>
    </row>
    <row r="727" spans="4:4">
      <c r="D727" s="7"/>
    </row>
    <row r="728" spans="4:4">
      <c r="D728" s="7"/>
    </row>
    <row r="729" spans="4:4">
      <c r="D729" s="7"/>
    </row>
    <row r="730" spans="4:4">
      <c r="D730" s="7"/>
    </row>
    <row r="731" spans="4:4">
      <c r="D731" s="7"/>
    </row>
    <row r="732" spans="4:4">
      <c r="D732" s="7"/>
    </row>
    <row r="733" spans="4:4">
      <c r="D733" s="7"/>
    </row>
    <row r="734" spans="4:4">
      <c r="D734" s="7"/>
    </row>
    <row r="735" spans="4:4">
      <c r="D735" s="7"/>
    </row>
    <row r="736" spans="4:4">
      <c r="D736" s="7"/>
    </row>
    <row r="737" spans="4:4">
      <c r="D737" s="7"/>
    </row>
    <row r="738" spans="4:4">
      <c r="D738" s="7"/>
    </row>
    <row r="739" spans="4:4">
      <c r="D739" s="7"/>
    </row>
    <row r="740" spans="4:4">
      <c r="D740" s="7"/>
    </row>
    <row r="741" spans="4:4">
      <c r="D741" s="7"/>
    </row>
    <row r="742" spans="4:4">
      <c r="D742" s="7"/>
    </row>
    <row r="743" spans="4:4">
      <c r="D743" s="7"/>
    </row>
    <row r="744" spans="4:4">
      <c r="D744" s="7"/>
    </row>
    <row r="745" spans="4:4">
      <c r="D745" s="7"/>
    </row>
    <row r="746" spans="4:4">
      <c r="D746" s="7"/>
    </row>
    <row r="747" spans="4:4">
      <c r="D747" s="7"/>
    </row>
    <row r="748" spans="4:4">
      <c r="D748" s="7"/>
    </row>
    <row r="749" spans="4:4">
      <c r="D749" s="7"/>
    </row>
    <row r="750" spans="4:4">
      <c r="D750" s="7"/>
    </row>
    <row r="751" spans="4:4">
      <c r="D751" s="7"/>
    </row>
    <row r="752" spans="4:4">
      <c r="D752" s="7"/>
    </row>
    <row r="753" spans="4:4">
      <c r="D753" s="7"/>
    </row>
    <row r="754" spans="4:4">
      <c r="D754" s="7"/>
    </row>
    <row r="755" spans="4:4">
      <c r="D755" s="7"/>
    </row>
    <row r="756" spans="4:4">
      <c r="D756" s="7"/>
    </row>
    <row r="757" spans="4:4">
      <c r="D757" s="7"/>
    </row>
    <row r="758" spans="4:4">
      <c r="D758" s="7"/>
    </row>
    <row r="759" spans="4:4">
      <c r="D759" s="7"/>
    </row>
    <row r="760" spans="4:4">
      <c r="D760" s="7"/>
    </row>
    <row r="761" spans="4:4">
      <c r="D761" s="7"/>
    </row>
    <row r="762" spans="4:4">
      <c r="D762" s="7"/>
    </row>
    <row r="763" spans="4:4">
      <c r="D763" s="7"/>
    </row>
    <row r="764" spans="4:4">
      <c r="D764" s="7"/>
    </row>
    <row r="765" spans="4:4">
      <c r="D765" s="7"/>
    </row>
    <row r="766" spans="4:4">
      <c r="D766" s="7"/>
    </row>
    <row r="767" spans="4:4">
      <c r="D767" s="7"/>
    </row>
    <row r="768" spans="4:4">
      <c r="D768" s="7"/>
    </row>
    <row r="769" spans="4:4">
      <c r="D769" s="7"/>
    </row>
    <row r="770" spans="4:4">
      <c r="D770" s="7"/>
    </row>
    <row r="771" spans="4:4">
      <c r="D771" s="7"/>
    </row>
    <row r="772" spans="4:4">
      <c r="D772" s="7"/>
    </row>
    <row r="773" spans="4:4">
      <c r="D773" s="7"/>
    </row>
    <row r="774" spans="4:4">
      <c r="D774" s="7"/>
    </row>
    <row r="775" spans="4:4">
      <c r="D775" s="7"/>
    </row>
    <row r="776" spans="4:4">
      <c r="D776" s="7"/>
    </row>
    <row r="777" spans="4:4">
      <c r="D777" s="7"/>
    </row>
    <row r="778" spans="4:4">
      <c r="D778" s="7"/>
    </row>
    <row r="779" spans="4:4">
      <c r="D779" s="7"/>
    </row>
    <row r="780" spans="4:4">
      <c r="D780" s="7"/>
    </row>
    <row r="781" spans="4:4">
      <c r="D781" s="7"/>
    </row>
    <row r="782" spans="4:4">
      <c r="D782" s="7"/>
    </row>
    <row r="783" spans="4:4">
      <c r="D783" s="7"/>
    </row>
    <row r="784" spans="4:4">
      <c r="D784" s="7"/>
    </row>
    <row r="785" spans="4:4">
      <c r="D785" s="7"/>
    </row>
    <row r="786" spans="4:4">
      <c r="D786" s="7"/>
    </row>
    <row r="787" spans="4:4">
      <c r="D787" s="7"/>
    </row>
    <row r="788" spans="4:4">
      <c r="D788" s="7"/>
    </row>
    <row r="789" spans="4:4">
      <c r="D789" s="7"/>
    </row>
    <row r="790" spans="4:4">
      <c r="D790" s="7"/>
    </row>
    <row r="791" spans="4:4">
      <c r="D791" s="7"/>
    </row>
    <row r="792" spans="4:4">
      <c r="D792" s="7"/>
    </row>
    <row r="793" spans="4:4">
      <c r="D793" s="7"/>
    </row>
    <row r="794" spans="4:4">
      <c r="D794" s="7"/>
    </row>
    <row r="795" spans="4:4">
      <c r="D795" s="7"/>
    </row>
    <row r="796" spans="4:4">
      <c r="D796" s="7"/>
    </row>
    <row r="797" spans="4:4">
      <c r="D797" s="7"/>
    </row>
    <row r="798" spans="4:4">
      <c r="D798" s="7"/>
    </row>
    <row r="799" spans="4:4">
      <c r="D799" s="7"/>
    </row>
    <row r="800" spans="4:4">
      <c r="D800" s="7"/>
    </row>
    <row r="801" spans="4:4">
      <c r="D801" s="7"/>
    </row>
    <row r="802" spans="4:4">
      <c r="D802" s="7"/>
    </row>
    <row r="803" spans="4:4">
      <c r="D803" s="7"/>
    </row>
    <row r="804" spans="4:4">
      <c r="D804" s="7"/>
    </row>
    <row r="805" spans="4:4">
      <c r="D805" s="7"/>
    </row>
    <row r="806" spans="4:4">
      <c r="D806" s="7"/>
    </row>
    <row r="807" spans="4:4">
      <c r="D807" s="7"/>
    </row>
    <row r="808" spans="4:4">
      <c r="D808" s="7"/>
    </row>
    <row r="809" spans="4:4">
      <c r="D809" s="7"/>
    </row>
    <row r="810" spans="4:4">
      <c r="D810" s="7"/>
    </row>
    <row r="811" spans="4:4">
      <c r="D811" s="7"/>
    </row>
    <row r="812" spans="4:4">
      <c r="D812" s="7"/>
    </row>
    <row r="813" spans="4:4">
      <c r="D813" s="7"/>
    </row>
    <row r="814" spans="4:4">
      <c r="D814" s="7"/>
    </row>
    <row r="815" spans="4:4">
      <c r="D815" s="7"/>
    </row>
    <row r="816" spans="4:4">
      <c r="D816" s="7"/>
    </row>
    <row r="817" spans="4:4">
      <c r="D817" s="7"/>
    </row>
    <row r="818" spans="4:4">
      <c r="D818" s="7"/>
    </row>
    <row r="819" spans="4:4">
      <c r="D819" s="7"/>
    </row>
    <row r="820" spans="4:4">
      <c r="D820" s="7"/>
    </row>
    <row r="821" spans="4:4">
      <c r="D821" s="7"/>
    </row>
    <row r="822" spans="4:4">
      <c r="D822" s="7"/>
    </row>
    <row r="823" spans="4:4">
      <c r="D823" s="7"/>
    </row>
    <row r="824" spans="4:4">
      <c r="D824" s="7"/>
    </row>
    <row r="825" spans="4:4">
      <c r="D825" s="7"/>
    </row>
    <row r="826" spans="4:4">
      <c r="D826" s="7"/>
    </row>
    <row r="827" spans="4:4">
      <c r="D827" s="7"/>
    </row>
    <row r="828" spans="4:4">
      <c r="D828" s="7"/>
    </row>
    <row r="829" spans="4:4">
      <c r="D829" s="7"/>
    </row>
    <row r="830" spans="4:4">
      <c r="D830" s="7"/>
    </row>
    <row r="831" spans="4:4">
      <c r="D831" s="7"/>
    </row>
    <row r="832" spans="4:4">
      <c r="D832" s="7"/>
    </row>
    <row r="833" spans="4:4">
      <c r="D833" s="7"/>
    </row>
    <row r="834" spans="4:4">
      <c r="D834" s="7"/>
    </row>
    <row r="835" spans="4:4">
      <c r="D835" s="7"/>
    </row>
    <row r="836" spans="4:4">
      <c r="D836" s="7"/>
    </row>
    <row r="837" spans="4:4">
      <c r="D837" s="7"/>
    </row>
    <row r="838" spans="4:4">
      <c r="D838" s="7"/>
    </row>
    <row r="839" spans="4:4">
      <c r="D839" s="7"/>
    </row>
    <row r="840" spans="4:4">
      <c r="D840" s="7"/>
    </row>
    <row r="841" spans="4:4">
      <c r="D841" s="7"/>
    </row>
    <row r="842" spans="4:4">
      <c r="D842" s="7"/>
    </row>
    <row r="843" spans="4:4">
      <c r="D843" s="7"/>
    </row>
    <row r="844" spans="4:4">
      <c r="D844" s="7"/>
    </row>
    <row r="845" spans="4:4">
      <c r="D845" s="7"/>
    </row>
    <row r="846" spans="4:4">
      <c r="D846" s="7"/>
    </row>
    <row r="847" spans="4:4">
      <c r="D847" s="7"/>
    </row>
    <row r="848" spans="4:4">
      <c r="D848" s="7"/>
    </row>
    <row r="849" spans="4:4">
      <c r="D849" s="7"/>
    </row>
    <row r="850" spans="4:4">
      <c r="D850" s="7"/>
    </row>
    <row r="851" spans="4:4">
      <c r="D851" s="7"/>
    </row>
    <row r="852" spans="4:4">
      <c r="D852" s="7"/>
    </row>
    <row r="853" spans="4:4">
      <c r="D853" s="7"/>
    </row>
    <row r="854" spans="4:4">
      <c r="D854" s="7"/>
    </row>
    <row r="855" spans="4:4">
      <c r="D855" s="7"/>
    </row>
    <row r="856" spans="4:4">
      <c r="D856" s="7"/>
    </row>
    <row r="857" spans="4:4">
      <c r="D857" s="7"/>
    </row>
    <row r="858" spans="4:4">
      <c r="D858" s="7"/>
    </row>
    <row r="859" spans="4:4">
      <c r="D859" s="7"/>
    </row>
    <row r="860" spans="4:4">
      <c r="D860" s="7"/>
    </row>
    <row r="861" spans="4:4">
      <c r="D861" s="7"/>
    </row>
    <row r="862" spans="4:4">
      <c r="D862" s="7"/>
    </row>
    <row r="863" spans="4:4">
      <c r="D863" s="7"/>
    </row>
    <row r="864" spans="4:4">
      <c r="D864" s="7"/>
    </row>
    <row r="865" spans="4:4">
      <c r="D865" s="7"/>
    </row>
    <row r="866" spans="4:4">
      <c r="D866" s="7"/>
    </row>
    <row r="867" spans="4:4">
      <c r="D867" s="7"/>
    </row>
    <row r="868" spans="4:4">
      <c r="D868" s="7"/>
    </row>
    <row r="869" spans="4:4">
      <c r="D869" s="7"/>
    </row>
    <row r="870" spans="4:4">
      <c r="D870" s="7"/>
    </row>
    <row r="871" spans="4:4">
      <c r="D871" s="7"/>
    </row>
    <row r="872" spans="4:4">
      <c r="D872" s="7"/>
    </row>
    <row r="873" spans="4:4">
      <c r="D873" s="7"/>
    </row>
    <row r="874" spans="4:4">
      <c r="D874" s="7"/>
    </row>
    <row r="875" spans="4:4">
      <c r="D875" s="7"/>
    </row>
    <row r="876" spans="4:4">
      <c r="D876" s="7"/>
    </row>
    <row r="877" spans="4:4">
      <c r="D877" s="7"/>
    </row>
    <row r="878" spans="4:4">
      <c r="D878" s="7"/>
    </row>
    <row r="879" spans="4:4">
      <c r="D879" s="7"/>
    </row>
    <row r="880" spans="4:4">
      <c r="D880" s="7"/>
    </row>
    <row r="881" spans="4:4">
      <c r="D881" s="7"/>
    </row>
    <row r="882" spans="4:4">
      <c r="D882" s="7"/>
    </row>
    <row r="883" spans="4:4">
      <c r="D883" s="7"/>
    </row>
    <row r="884" spans="4:4">
      <c r="D884" s="7"/>
    </row>
    <row r="885" spans="4:4">
      <c r="D885" s="7"/>
    </row>
    <row r="886" spans="4:4">
      <c r="D886" s="7"/>
    </row>
    <row r="887" spans="4:4">
      <c r="D887" s="7"/>
    </row>
    <row r="888" spans="4:4">
      <c r="D888" s="7"/>
    </row>
    <row r="889" spans="4:4">
      <c r="D889" s="7"/>
    </row>
    <row r="890" spans="4:4">
      <c r="D890" s="7"/>
    </row>
    <row r="891" spans="4:4">
      <c r="D891" s="7"/>
    </row>
    <row r="892" spans="4:4">
      <c r="D892" s="7"/>
    </row>
    <row r="893" spans="4:4">
      <c r="D893" s="7"/>
    </row>
    <row r="894" spans="4:4">
      <c r="D894" s="7"/>
    </row>
    <row r="895" spans="4:4">
      <c r="D895" s="7"/>
    </row>
    <row r="896" spans="4:4">
      <c r="D896" s="7"/>
    </row>
    <row r="897" spans="4:4">
      <c r="D897" s="7"/>
    </row>
    <row r="898" spans="4:4">
      <c r="D898" s="7"/>
    </row>
    <row r="899" spans="4:4">
      <c r="D899" s="7"/>
    </row>
    <row r="900" spans="4:4">
      <c r="D900" s="7"/>
    </row>
    <row r="901" spans="4:4">
      <c r="D901" s="7"/>
    </row>
    <row r="902" spans="4:4">
      <c r="D902" s="7"/>
    </row>
    <row r="903" spans="4:4">
      <c r="D903" s="7"/>
    </row>
    <row r="904" spans="4:4">
      <c r="D904" s="7"/>
    </row>
    <row r="905" spans="4:4">
      <c r="D905" s="7"/>
    </row>
    <row r="906" spans="4:4">
      <c r="D906" s="7"/>
    </row>
    <row r="907" spans="4:4">
      <c r="D907" s="7"/>
    </row>
    <row r="908" spans="4:4">
      <c r="D908" s="7"/>
    </row>
    <row r="909" spans="4:4">
      <c r="D909" s="7"/>
    </row>
    <row r="910" spans="4:4">
      <c r="D910" s="7"/>
    </row>
    <row r="911" spans="4:4">
      <c r="D911" s="7"/>
    </row>
    <row r="912" spans="4:4">
      <c r="D912" s="7"/>
    </row>
    <row r="913" spans="4:4">
      <c r="D913" s="7"/>
    </row>
    <row r="914" spans="4:4">
      <c r="D914" s="7"/>
    </row>
    <row r="915" spans="4:4">
      <c r="D915" s="7"/>
    </row>
    <row r="916" spans="4:4">
      <c r="D916" s="7"/>
    </row>
    <row r="917" spans="4:4">
      <c r="D917" s="7"/>
    </row>
    <row r="918" spans="4:4">
      <c r="D918" s="7"/>
    </row>
    <row r="919" spans="4:4">
      <c r="D919" s="7"/>
    </row>
    <row r="920" spans="4:4">
      <c r="D920" s="7"/>
    </row>
    <row r="921" spans="4:4">
      <c r="D921" s="7"/>
    </row>
    <row r="922" spans="4:4">
      <c r="D922" s="7"/>
    </row>
    <row r="923" spans="4:4">
      <c r="D923" s="7"/>
    </row>
    <row r="924" spans="4:4">
      <c r="D924" s="7"/>
    </row>
    <row r="925" spans="4:4">
      <c r="D925" s="7"/>
    </row>
    <row r="926" spans="4:4">
      <c r="D926" s="7"/>
    </row>
    <row r="927" spans="4:4">
      <c r="D927" s="7"/>
    </row>
    <row r="928" spans="4:4">
      <c r="D928" s="7"/>
    </row>
    <row r="929" spans="4:4">
      <c r="D929" s="7"/>
    </row>
    <row r="930" spans="4:4">
      <c r="D930" s="7"/>
    </row>
    <row r="931" spans="4:4">
      <c r="D931" s="7"/>
    </row>
    <row r="932" spans="4:4">
      <c r="D932" s="7"/>
    </row>
    <row r="933" spans="4:4">
      <c r="D933" s="7"/>
    </row>
    <row r="934" spans="4:4">
      <c r="D934" s="7"/>
    </row>
    <row r="935" spans="4:4">
      <c r="D935" s="7"/>
    </row>
    <row r="936" spans="4:4">
      <c r="D936" s="7"/>
    </row>
    <row r="937" spans="4:4">
      <c r="D937" s="7"/>
    </row>
    <row r="938" spans="4:4">
      <c r="D938" s="7"/>
    </row>
    <row r="939" spans="4:4">
      <c r="D939" s="7"/>
    </row>
    <row r="940" spans="4:4">
      <c r="D940" s="7"/>
    </row>
    <row r="941" spans="4:4">
      <c r="D941" s="7"/>
    </row>
    <row r="942" spans="4:4">
      <c r="D942" s="7"/>
    </row>
    <row r="943" spans="4:4">
      <c r="D943" s="7"/>
    </row>
    <row r="944" spans="4:4">
      <c r="D944" s="7"/>
    </row>
    <row r="945" spans="4:4">
      <c r="D945" s="7"/>
    </row>
    <row r="946" spans="4:4">
      <c r="D946" s="7"/>
    </row>
    <row r="947" spans="4:4">
      <c r="D947" s="7"/>
    </row>
    <row r="948" spans="4:4">
      <c r="D948" s="7"/>
    </row>
    <row r="949" spans="4:4">
      <c r="D949" s="7"/>
    </row>
    <row r="950" spans="4:4">
      <c r="D950" s="7"/>
    </row>
    <row r="951" spans="4:4">
      <c r="D951" s="7"/>
    </row>
    <row r="952" spans="4:4">
      <c r="D952" s="7"/>
    </row>
    <row r="953" spans="4:4">
      <c r="D953" s="7"/>
    </row>
    <row r="954" spans="4:4">
      <c r="D954" s="7"/>
    </row>
    <row r="955" spans="4:4">
      <c r="D955" s="7"/>
    </row>
    <row r="956" spans="4:4">
      <c r="D956" s="7"/>
    </row>
    <row r="957" spans="4:4">
      <c r="D957" s="7"/>
    </row>
    <row r="958" spans="4:4">
      <c r="D958" s="7"/>
    </row>
    <row r="959" spans="4:4">
      <c r="D959" s="7"/>
    </row>
    <row r="960" spans="4:4">
      <c r="D960" s="7"/>
    </row>
    <row r="961" spans="4:4">
      <c r="D961" s="7"/>
    </row>
    <row r="962" spans="4:4">
      <c r="D962" s="7"/>
    </row>
    <row r="963" spans="4:4">
      <c r="D963" s="7"/>
    </row>
    <row r="964" spans="4:4">
      <c r="D964" s="7"/>
    </row>
    <row r="965" spans="4:4">
      <c r="D965" s="7"/>
    </row>
    <row r="966" spans="4:4">
      <c r="D966" s="7"/>
    </row>
    <row r="967" spans="4:4">
      <c r="D967" s="7"/>
    </row>
    <row r="968" spans="4:4">
      <c r="D968" s="7"/>
    </row>
    <row r="969" spans="4:4">
      <c r="D969" s="7"/>
    </row>
    <row r="970" spans="4:4">
      <c r="D970" s="7"/>
    </row>
    <row r="971" spans="4:4">
      <c r="D971" s="7"/>
    </row>
    <row r="972" spans="4:4">
      <c r="D972" s="7"/>
    </row>
    <row r="973" spans="4:4">
      <c r="D973" s="7"/>
    </row>
    <row r="974" spans="4:4">
      <c r="D974" s="7"/>
    </row>
    <row r="975" spans="4:4">
      <c r="D975" s="7"/>
    </row>
    <row r="976" spans="4:4">
      <c r="D976" s="7"/>
    </row>
    <row r="977" spans="4:4">
      <c r="D977" s="7"/>
    </row>
    <row r="978" spans="4:4">
      <c r="D978" s="7"/>
    </row>
    <row r="979" spans="4:4">
      <c r="D979" s="7"/>
    </row>
    <row r="980" spans="4:4">
      <c r="D980" s="7"/>
    </row>
    <row r="981" spans="4:4">
      <c r="D981" s="7"/>
    </row>
    <row r="982" spans="4:4">
      <c r="D982" s="7"/>
    </row>
    <row r="983" spans="4:4">
      <c r="D983" s="7"/>
    </row>
    <row r="984" spans="4:4">
      <c r="D984" s="7"/>
    </row>
    <row r="985" spans="4:4">
      <c r="D985" s="7"/>
    </row>
    <row r="986" spans="4:4">
      <c r="D986" s="7"/>
    </row>
    <row r="987" spans="4:4">
      <c r="D987" s="7"/>
    </row>
    <row r="988" spans="4:4">
      <c r="D988" s="7"/>
    </row>
    <row r="989" spans="4:4">
      <c r="D989" s="7"/>
    </row>
    <row r="990" spans="4:4">
      <c r="D990" s="7"/>
    </row>
    <row r="991" spans="4:4">
      <c r="D991" s="7"/>
    </row>
    <row r="992" spans="4:4">
      <c r="D992" s="7"/>
    </row>
    <row r="993" spans="4:4">
      <c r="D993" s="7"/>
    </row>
    <row r="994" spans="4:4">
      <c r="D994" s="7"/>
    </row>
    <row r="995" spans="4:4">
      <c r="D995" s="7"/>
    </row>
    <row r="996" spans="4:4">
      <c r="D996" s="7"/>
    </row>
    <row r="997" spans="4:4">
      <c r="D997" s="7"/>
    </row>
    <row r="998" spans="4:4">
      <c r="D998" s="7"/>
    </row>
    <row r="999" spans="4:4">
      <c r="D999" s="7"/>
    </row>
    <row r="1000" spans="4:4">
      <c r="D1000" s="7"/>
    </row>
    <row r="1001" spans="4:4">
      <c r="D1001" s="7"/>
    </row>
    <row r="1002" spans="4:4">
      <c r="D1002" s="7"/>
    </row>
    <row r="1003" spans="4:4">
      <c r="D1003" s="7"/>
    </row>
    <row r="1004" spans="4:4">
      <c r="D1004" s="7"/>
    </row>
    <row r="1005" spans="4:4">
      <c r="D1005" s="7"/>
    </row>
    <row r="1006" spans="4:4">
      <c r="D1006" s="7"/>
    </row>
    <row r="1007" spans="4:4">
      <c r="D1007" s="7"/>
    </row>
    <row r="1008" spans="4:4">
      <c r="D1008" s="7"/>
    </row>
    <row r="1009" spans="4:4">
      <c r="D1009" s="7"/>
    </row>
    <row r="1010" spans="4:4">
      <c r="D1010" s="7"/>
    </row>
    <row r="1011" spans="4:4">
      <c r="D1011" s="7"/>
    </row>
    <row r="1012" spans="4:4">
      <c r="D1012" s="7"/>
    </row>
    <row r="1013" spans="4:4">
      <c r="D1013" s="7"/>
    </row>
    <row r="1014" spans="4:4">
      <c r="D1014" s="7"/>
    </row>
    <row r="1015" spans="4:4">
      <c r="D1015" s="7"/>
    </row>
    <row r="1016" spans="4:4">
      <c r="D1016" s="7"/>
    </row>
    <row r="1017" spans="4:4">
      <c r="D1017" s="7"/>
    </row>
    <row r="1018" spans="4:4">
      <c r="D1018" s="7"/>
    </row>
    <row r="1019" spans="4:4">
      <c r="D1019" s="7"/>
    </row>
    <row r="1020" spans="4:4">
      <c r="D1020" s="7"/>
    </row>
    <row r="1021" spans="4:4">
      <c r="D1021" s="7"/>
    </row>
    <row r="1022" spans="4:4">
      <c r="D1022" s="7"/>
    </row>
    <row r="1023" spans="4:4">
      <c r="D1023" s="7"/>
    </row>
    <row r="1024" spans="4:4">
      <c r="D1024" s="7"/>
    </row>
    <row r="1025" spans="4:4">
      <c r="D1025" s="7"/>
    </row>
    <row r="1026" spans="4:4">
      <c r="D1026" s="7"/>
    </row>
    <row r="1027" spans="4:4">
      <c r="D1027" s="7"/>
    </row>
    <row r="1028" spans="4:4">
      <c r="D1028" s="7"/>
    </row>
    <row r="1029" spans="4:4">
      <c r="D1029" s="7"/>
    </row>
    <row r="1030" spans="4:4">
      <c r="D1030" s="7"/>
    </row>
    <row r="1031" spans="4:4">
      <c r="D1031" s="7"/>
    </row>
    <row r="1032" spans="4:4">
      <c r="D1032" s="7"/>
    </row>
    <row r="1033" spans="4:4">
      <c r="D1033" s="7"/>
    </row>
    <row r="1034" spans="4:4">
      <c r="D1034" s="7"/>
    </row>
    <row r="1035" spans="4:4">
      <c r="D1035" s="7"/>
    </row>
    <row r="1036" spans="4:4">
      <c r="D1036" s="7"/>
    </row>
    <row r="1037" spans="4:4">
      <c r="D1037" s="7"/>
    </row>
    <row r="1038" spans="4:4">
      <c r="D1038" s="7"/>
    </row>
    <row r="1039" spans="4:4">
      <c r="D1039" s="7"/>
    </row>
    <row r="1040" spans="4:4">
      <c r="D1040" s="7"/>
    </row>
    <row r="1041" spans="4:4">
      <c r="D1041" s="7"/>
    </row>
    <row r="1042" spans="4:4">
      <c r="D1042" s="7"/>
    </row>
    <row r="1043" spans="4:4">
      <c r="D1043" s="7"/>
    </row>
    <row r="1044" spans="4:4">
      <c r="D1044" s="7"/>
    </row>
    <row r="1045" spans="4:4">
      <c r="D1045" s="7"/>
    </row>
    <row r="1046" spans="4:4">
      <c r="D1046" s="7"/>
    </row>
    <row r="1047" spans="4:4">
      <c r="D1047" s="7"/>
    </row>
    <row r="1048" spans="4:4">
      <c r="D1048" s="7"/>
    </row>
    <row r="1049" spans="4:4">
      <c r="D1049" s="7"/>
    </row>
    <row r="1050" spans="4:4">
      <c r="D1050" s="7"/>
    </row>
    <row r="1051" spans="4:4">
      <c r="D1051" s="7"/>
    </row>
    <row r="1052" spans="4:4">
      <c r="D1052" s="7"/>
    </row>
    <row r="1053" spans="4:4">
      <c r="D1053" s="7"/>
    </row>
    <row r="1054" spans="4:4">
      <c r="D1054" s="7"/>
    </row>
    <row r="1055" spans="4:4">
      <c r="D1055" s="7"/>
    </row>
    <row r="1056" spans="4:4">
      <c r="D1056" s="7"/>
    </row>
    <row r="1057" spans="4:4">
      <c r="D1057" s="7"/>
    </row>
    <row r="1058" spans="4:4">
      <c r="D1058" s="7"/>
    </row>
    <row r="1059" spans="4:4">
      <c r="D1059" s="7"/>
    </row>
    <row r="1060" spans="4:4">
      <c r="D1060" s="7"/>
    </row>
    <row r="1061" spans="4:4">
      <c r="D1061" s="7"/>
    </row>
    <row r="1062" spans="4:4">
      <c r="D1062" s="7"/>
    </row>
    <row r="1063" spans="4:4">
      <c r="D1063" s="7"/>
    </row>
    <row r="1064" spans="4:4">
      <c r="D1064" s="7"/>
    </row>
    <row r="1065" spans="4:4">
      <c r="D1065" s="7"/>
    </row>
    <row r="1066" spans="4:4">
      <c r="D1066" s="7"/>
    </row>
    <row r="1067" spans="4:4">
      <c r="D1067" s="7"/>
    </row>
    <row r="1068" spans="4:4">
      <c r="D1068" s="7"/>
    </row>
    <row r="1069" spans="4:4">
      <c r="D1069" s="7"/>
    </row>
    <row r="1070" spans="4:4">
      <c r="D1070" s="7"/>
    </row>
    <row r="1071" spans="4:4">
      <c r="D1071" s="7"/>
    </row>
    <row r="1072" spans="4:4">
      <c r="D1072" s="7"/>
    </row>
    <row r="1073" spans="4:4">
      <c r="D1073" s="7"/>
    </row>
    <row r="1074" spans="4:4">
      <c r="D1074" s="7"/>
    </row>
    <row r="1075" spans="4:4">
      <c r="D1075" s="7"/>
    </row>
    <row r="1076" spans="4:4">
      <c r="D1076" s="7"/>
    </row>
    <row r="1077" spans="4:4">
      <c r="D1077" s="7"/>
    </row>
    <row r="1078" spans="4:4">
      <c r="D1078" s="7"/>
    </row>
    <row r="1079" spans="4:4">
      <c r="D1079" s="7"/>
    </row>
    <row r="1080" spans="4:4">
      <c r="D1080" s="7"/>
    </row>
    <row r="1081" spans="4:4">
      <c r="D1081" s="7"/>
    </row>
    <row r="1082" spans="4:4">
      <c r="D1082" s="7"/>
    </row>
    <row r="1083" spans="4:4">
      <c r="D1083" s="7"/>
    </row>
    <row r="1084" spans="4:4">
      <c r="D1084" s="7"/>
    </row>
    <row r="1085" spans="4:4">
      <c r="D1085" s="7"/>
    </row>
    <row r="1086" spans="4:4">
      <c r="D1086" s="7"/>
    </row>
    <row r="1087" spans="4:4">
      <c r="D1087" s="7"/>
    </row>
    <row r="1088" spans="4:4">
      <c r="D1088" s="7"/>
    </row>
    <row r="1089" spans="4:4">
      <c r="D1089" s="7"/>
    </row>
    <row r="1090" spans="4:4">
      <c r="D1090" s="7"/>
    </row>
    <row r="1091" spans="4:4">
      <c r="D1091" s="7"/>
    </row>
    <row r="1092" spans="4:4">
      <c r="D1092" s="7"/>
    </row>
    <row r="1093" spans="4:4">
      <c r="D1093" s="7"/>
    </row>
    <row r="1094" spans="4:4">
      <c r="D1094" s="7"/>
    </row>
    <row r="1095" spans="4:4">
      <c r="D1095" s="7"/>
    </row>
    <row r="1096" spans="4:4">
      <c r="D1096" s="7"/>
    </row>
    <row r="1097" spans="4:4">
      <c r="D1097" s="7"/>
    </row>
    <row r="1098" spans="4:4">
      <c r="D1098" s="7"/>
    </row>
    <row r="1099" spans="4:4">
      <c r="D1099" s="7"/>
    </row>
    <row r="1100" spans="4:4">
      <c r="D1100" s="7"/>
    </row>
    <row r="1101" spans="4:4">
      <c r="D1101" s="7"/>
    </row>
    <row r="1102" spans="4:4">
      <c r="D1102" s="7"/>
    </row>
    <row r="1103" spans="4:4">
      <c r="D1103" s="7"/>
    </row>
    <row r="1104" spans="4:4">
      <c r="D1104" s="7"/>
    </row>
    <row r="1105" spans="4:4">
      <c r="D1105" s="7"/>
    </row>
    <row r="1106" spans="4:4">
      <c r="D1106" s="7"/>
    </row>
    <row r="1107" spans="4:4">
      <c r="D1107" s="7"/>
    </row>
    <row r="1108" spans="4:4">
      <c r="D1108" s="7"/>
    </row>
    <row r="1109" spans="4:4">
      <c r="D1109" s="7"/>
    </row>
    <row r="1110" spans="4:4">
      <c r="D1110" s="7"/>
    </row>
    <row r="1111" spans="4:4">
      <c r="D1111" s="7"/>
    </row>
    <row r="1112" spans="4:4">
      <c r="D1112" s="7"/>
    </row>
    <row r="1113" spans="4:4">
      <c r="D1113" s="7"/>
    </row>
    <row r="1114" spans="4:4">
      <c r="D1114" s="7"/>
    </row>
    <row r="1115" spans="4:4">
      <c r="D1115" s="7"/>
    </row>
    <row r="1116" spans="4:4">
      <c r="D1116" s="7"/>
    </row>
    <row r="1117" spans="4:4">
      <c r="D1117" s="7"/>
    </row>
    <row r="1118" spans="4:4">
      <c r="D1118" s="7"/>
    </row>
    <row r="1119" spans="4:4">
      <c r="D1119" s="7"/>
    </row>
    <row r="1120" spans="4:4">
      <c r="D1120" s="7"/>
    </row>
    <row r="1121" spans="4:4">
      <c r="D1121" s="7"/>
    </row>
    <row r="1122" spans="4:4">
      <c r="D1122" s="7"/>
    </row>
    <row r="1123" spans="4:4">
      <c r="D1123" s="7"/>
    </row>
    <row r="1124" spans="4:4">
      <c r="D1124" s="7"/>
    </row>
    <row r="1125" spans="4:4">
      <c r="D1125" s="7"/>
    </row>
    <row r="1126" spans="4:4">
      <c r="D1126" s="7"/>
    </row>
    <row r="1127" spans="4:4">
      <c r="D1127" s="7"/>
    </row>
    <row r="1128" spans="4:4">
      <c r="D1128" s="7"/>
    </row>
    <row r="1129" spans="4:4">
      <c r="D1129" s="7"/>
    </row>
    <row r="1130" spans="4:4">
      <c r="D1130" s="7"/>
    </row>
    <row r="1131" spans="4:4">
      <c r="D1131" s="7"/>
    </row>
    <row r="1132" spans="4:4">
      <c r="D1132" s="7"/>
    </row>
    <row r="1133" spans="4:4">
      <c r="D1133" s="7"/>
    </row>
    <row r="1134" spans="4:4">
      <c r="D1134" s="7"/>
    </row>
    <row r="1135" spans="4:4">
      <c r="D1135" s="7"/>
    </row>
    <row r="1136" spans="4:4">
      <c r="D1136" s="7"/>
    </row>
    <row r="1137" spans="4:4">
      <c r="D1137" s="7"/>
    </row>
    <row r="1138" spans="4:4">
      <c r="D1138" s="7"/>
    </row>
    <row r="1139" spans="4:4">
      <c r="D1139" s="7"/>
    </row>
    <row r="1140" spans="4:4">
      <c r="D1140" s="7"/>
    </row>
    <row r="1141" spans="4:4">
      <c r="D1141" s="7"/>
    </row>
    <row r="1142" spans="4:4">
      <c r="D1142" s="7"/>
    </row>
    <row r="1143" spans="4:4">
      <c r="D1143" s="7"/>
    </row>
    <row r="1144" spans="4:4">
      <c r="D1144" s="7"/>
    </row>
    <row r="1145" spans="4:4">
      <c r="D1145" s="7"/>
    </row>
    <row r="1146" spans="4:4">
      <c r="D1146" s="7"/>
    </row>
    <row r="1147" spans="4:4">
      <c r="D1147" s="7"/>
    </row>
    <row r="1148" spans="4:4">
      <c r="D1148" s="7"/>
    </row>
    <row r="1149" spans="4:4">
      <c r="D1149" s="7"/>
    </row>
    <row r="1150" spans="4:4">
      <c r="D1150" s="7"/>
    </row>
    <row r="1151" spans="4:4">
      <c r="D1151" s="7"/>
    </row>
    <row r="1152" spans="4:4">
      <c r="D1152" s="7"/>
    </row>
    <row r="1153" spans="4:4">
      <c r="D1153" s="7"/>
    </row>
    <row r="1154" spans="4:4">
      <c r="D1154" s="7"/>
    </row>
    <row r="1155" spans="4:4">
      <c r="D1155" s="7"/>
    </row>
    <row r="1156" spans="4:4">
      <c r="D1156" s="7"/>
    </row>
    <row r="1157" spans="4:4">
      <c r="D1157" s="7"/>
    </row>
    <row r="1158" spans="4:4">
      <c r="D1158" s="7"/>
    </row>
    <row r="1159" spans="4:4">
      <c r="D1159" s="7"/>
    </row>
    <row r="1160" spans="4:4">
      <c r="D1160" s="7"/>
    </row>
    <row r="1161" spans="4:4">
      <c r="D1161" s="7"/>
    </row>
    <row r="1162" spans="4:4">
      <c r="D1162" s="7"/>
    </row>
    <row r="1163" spans="4:4">
      <c r="D1163" s="7"/>
    </row>
    <row r="1164" spans="4:4">
      <c r="D1164" s="7"/>
    </row>
    <row r="1165" spans="4:4">
      <c r="D1165" s="7"/>
    </row>
    <row r="1166" spans="4:4">
      <c r="D1166" s="7"/>
    </row>
    <row r="1167" spans="4:4">
      <c r="D1167" s="7"/>
    </row>
    <row r="1168" spans="4:4">
      <c r="D1168" s="7"/>
    </row>
    <row r="1169" spans="4:4">
      <c r="D1169" s="7"/>
    </row>
    <row r="1170" spans="4:4">
      <c r="D1170" s="7"/>
    </row>
    <row r="1171" spans="4:4">
      <c r="D1171" s="7"/>
    </row>
    <row r="1172" spans="4:4">
      <c r="D1172" s="7"/>
    </row>
    <row r="1173" spans="4:4">
      <c r="D1173" s="7"/>
    </row>
    <row r="1174" spans="4:4">
      <c r="D1174" s="7"/>
    </row>
    <row r="1175" spans="4:4">
      <c r="D1175" s="7"/>
    </row>
    <row r="1176" spans="4:4">
      <c r="D1176" s="7"/>
    </row>
    <row r="1177" spans="4:4">
      <c r="D1177" s="7"/>
    </row>
    <row r="1178" spans="4:4">
      <c r="D1178" s="7"/>
    </row>
    <row r="1179" spans="4:4">
      <c r="D1179" s="7"/>
    </row>
    <row r="1180" spans="4:4">
      <c r="D1180" s="7"/>
    </row>
    <row r="1181" spans="4:4">
      <c r="D1181" s="7"/>
    </row>
    <row r="1182" spans="4:4">
      <c r="D1182" s="7"/>
    </row>
    <row r="1183" spans="4:4">
      <c r="D1183" s="7"/>
    </row>
    <row r="1184" spans="4:4">
      <c r="D1184" s="7"/>
    </row>
    <row r="1185" spans="4:4">
      <c r="D1185" s="7"/>
    </row>
    <row r="1186" spans="4:4">
      <c r="D1186" s="7"/>
    </row>
    <row r="1187" spans="4:4">
      <c r="D1187" s="7"/>
    </row>
    <row r="1188" spans="4:4">
      <c r="D1188" s="7"/>
    </row>
    <row r="1189" spans="4:4">
      <c r="D1189" s="7"/>
    </row>
    <row r="1190" spans="4:4">
      <c r="D1190" s="7"/>
    </row>
    <row r="1191" spans="4:4">
      <c r="D1191" s="7"/>
    </row>
    <row r="1192" spans="4:4">
      <c r="D1192" s="7"/>
    </row>
    <row r="1193" spans="4:4">
      <c r="D1193" s="7"/>
    </row>
    <row r="1194" spans="4:4">
      <c r="D1194" s="7"/>
    </row>
    <row r="1195" spans="4:4">
      <c r="D1195" s="7"/>
    </row>
    <row r="1196" spans="4:4">
      <c r="D1196" s="7"/>
    </row>
    <row r="1197" spans="4:4">
      <c r="D1197" s="7"/>
    </row>
    <row r="1198" spans="4:4">
      <c r="D1198" s="7"/>
    </row>
    <row r="1199" spans="4:4">
      <c r="D1199" s="7"/>
    </row>
    <row r="1200" spans="4:4">
      <c r="D1200" s="7"/>
    </row>
    <row r="1201" spans="4:4">
      <c r="D1201" s="7"/>
    </row>
    <row r="1202" spans="4:4">
      <c r="D1202" s="7"/>
    </row>
    <row r="1203" spans="4:4">
      <c r="D1203" s="7"/>
    </row>
    <row r="1204" spans="4:4">
      <c r="D1204" s="7"/>
    </row>
    <row r="1205" spans="4:4">
      <c r="D1205" s="7"/>
    </row>
    <row r="1206" spans="4:4">
      <c r="D1206" s="7"/>
    </row>
    <row r="1207" spans="4:4">
      <c r="D1207" s="7"/>
    </row>
    <row r="1208" spans="4:4">
      <c r="D1208" s="7"/>
    </row>
    <row r="1209" spans="4:4">
      <c r="D1209" s="7"/>
    </row>
    <row r="1210" spans="4:4">
      <c r="D1210" s="7"/>
    </row>
    <row r="1211" spans="4:4">
      <c r="D1211" s="7"/>
    </row>
    <row r="1212" spans="4:4">
      <c r="D1212" s="7"/>
    </row>
    <row r="1213" spans="4:4">
      <c r="D1213" s="7"/>
    </row>
    <row r="1214" spans="4:4">
      <c r="D1214" s="7"/>
    </row>
    <row r="1215" spans="4:4">
      <c r="D1215" s="7"/>
    </row>
    <row r="1216" spans="4:4">
      <c r="D1216" s="7"/>
    </row>
    <row r="1217" spans="4:4">
      <c r="D1217" s="7"/>
    </row>
    <row r="1218" spans="4:4">
      <c r="D1218" s="7"/>
    </row>
    <row r="1219" spans="4:4">
      <c r="D1219" s="7"/>
    </row>
    <row r="1220" spans="4:4">
      <c r="D1220" s="7"/>
    </row>
    <row r="1221" spans="4:4">
      <c r="D1221" s="7"/>
    </row>
    <row r="1222" spans="4:4">
      <c r="D1222" s="7"/>
    </row>
    <row r="1223" spans="4:4">
      <c r="D1223" s="7"/>
    </row>
    <row r="1224" spans="4:4">
      <c r="D1224" s="7"/>
    </row>
    <row r="1225" spans="4:4">
      <c r="D1225" s="7"/>
    </row>
    <row r="1226" spans="4:4">
      <c r="D1226" s="7"/>
    </row>
    <row r="1227" spans="4:4">
      <c r="D1227" s="7"/>
    </row>
    <row r="1228" spans="4:4">
      <c r="D1228" s="7"/>
    </row>
    <row r="1229" spans="4:4">
      <c r="D1229" s="7"/>
    </row>
    <row r="1230" spans="4:4">
      <c r="D1230" s="7"/>
    </row>
    <row r="1231" spans="4:4">
      <c r="D1231" s="7"/>
    </row>
    <row r="1232" spans="4:4">
      <c r="D1232" s="7"/>
    </row>
    <row r="1233" spans="4:4">
      <c r="D1233" s="7"/>
    </row>
    <row r="1234" spans="4:4">
      <c r="D1234" s="7"/>
    </row>
    <row r="1235" spans="4:4">
      <c r="D1235" s="7"/>
    </row>
    <row r="1236" spans="4:4">
      <c r="D1236" s="7"/>
    </row>
    <row r="1237" spans="4:4">
      <c r="D1237" s="7"/>
    </row>
    <row r="1238" spans="4:4">
      <c r="D1238" s="7"/>
    </row>
    <row r="1239" spans="4:4">
      <c r="D1239" s="7"/>
    </row>
    <row r="1240" spans="4:4">
      <c r="D1240" s="7"/>
    </row>
    <row r="1241" spans="4:4">
      <c r="D1241" s="7"/>
    </row>
    <row r="1242" spans="4:4">
      <c r="D1242" s="7"/>
    </row>
    <row r="1243" spans="4:4">
      <c r="D1243" s="7"/>
    </row>
    <row r="1244" spans="4:4">
      <c r="D1244" s="7"/>
    </row>
    <row r="1245" spans="4:4">
      <c r="D1245" s="7"/>
    </row>
    <row r="1246" spans="4:4">
      <c r="D1246" s="7"/>
    </row>
    <row r="1247" spans="4:4">
      <c r="D1247" s="7"/>
    </row>
    <row r="1248" spans="4:4">
      <c r="D1248" s="7"/>
    </row>
    <row r="1249" spans="4:4">
      <c r="D1249" s="7"/>
    </row>
    <row r="1250" spans="4:4">
      <c r="D1250" s="7"/>
    </row>
    <row r="1251" spans="4:4">
      <c r="D1251" s="7"/>
    </row>
    <row r="1252" spans="4:4">
      <c r="D1252" s="7"/>
    </row>
    <row r="1253" spans="4:4">
      <c r="D1253" s="7"/>
    </row>
    <row r="1254" spans="4:4">
      <c r="D1254" s="7"/>
    </row>
    <row r="1255" spans="4:4">
      <c r="D1255" s="7"/>
    </row>
    <row r="1256" spans="4:4">
      <c r="D1256" s="7"/>
    </row>
    <row r="1257" spans="4:4">
      <c r="D1257" s="7"/>
    </row>
    <row r="1258" spans="4:4">
      <c r="D1258" s="7"/>
    </row>
    <row r="1259" spans="4:4">
      <c r="D1259" s="7"/>
    </row>
    <row r="1260" spans="4:4">
      <c r="D1260" s="7"/>
    </row>
    <row r="1261" spans="4:4">
      <c r="D1261" s="7"/>
    </row>
    <row r="1262" spans="4:4">
      <c r="D1262" s="7"/>
    </row>
    <row r="1263" spans="4:4">
      <c r="D1263" s="7"/>
    </row>
    <row r="1264" spans="4:4">
      <c r="D1264" s="7"/>
    </row>
    <row r="1265" spans="4:4">
      <c r="D1265" s="7"/>
    </row>
    <row r="1266" spans="4:4">
      <c r="D1266" s="7"/>
    </row>
    <row r="1267" spans="4:4">
      <c r="D1267" s="7"/>
    </row>
    <row r="1268" spans="4:4">
      <c r="D1268" s="7"/>
    </row>
    <row r="1269" spans="4:4">
      <c r="D1269" s="7"/>
    </row>
    <row r="1270" spans="4:4">
      <c r="D1270" s="7"/>
    </row>
    <row r="1271" spans="4:4">
      <c r="D1271" s="7"/>
    </row>
    <row r="1272" spans="4:4">
      <c r="D1272" s="7"/>
    </row>
    <row r="1273" spans="4:4">
      <c r="D1273" s="7"/>
    </row>
    <row r="1274" spans="4:4">
      <c r="D1274" s="7"/>
    </row>
    <row r="1275" spans="4:4">
      <c r="D1275" s="7"/>
    </row>
    <row r="1276" spans="4:4">
      <c r="D1276" s="7"/>
    </row>
    <row r="1277" spans="4:4">
      <c r="D1277" s="7"/>
    </row>
    <row r="1278" spans="4:4">
      <c r="D1278" s="7"/>
    </row>
    <row r="1279" spans="4:4">
      <c r="D1279" s="7"/>
    </row>
    <row r="1280" spans="4:4">
      <c r="D1280" s="7"/>
    </row>
    <row r="1281" spans="4:4">
      <c r="D1281" s="7"/>
    </row>
    <row r="1282" spans="4:4">
      <c r="D1282" s="7"/>
    </row>
    <row r="1283" spans="4:4">
      <c r="D1283" s="7"/>
    </row>
    <row r="1284" spans="4:4">
      <c r="D1284" s="7"/>
    </row>
    <row r="1285" spans="4:4">
      <c r="D1285" s="7"/>
    </row>
    <row r="1286" spans="4:4">
      <c r="D1286" s="7"/>
    </row>
    <row r="1287" spans="4:4">
      <c r="D1287" s="7"/>
    </row>
    <row r="1288" spans="4:4">
      <c r="D1288" s="7"/>
    </row>
    <row r="1289" spans="4:4">
      <c r="D1289" s="7"/>
    </row>
    <row r="1290" spans="4:4">
      <c r="D1290" s="7"/>
    </row>
    <row r="1291" spans="4:4">
      <c r="D1291" s="7"/>
    </row>
    <row r="1292" spans="4:4">
      <c r="D1292" s="7"/>
    </row>
    <row r="1293" spans="4:4">
      <c r="D1293" s="7"/>
    </row>
    <row r="1294" spans="4:4">
      <c r="D1294" s="7"/>
    </row>
    <row r="1295" spans="4:4">
      <c r="D1295" s="7"/>
    </row>
    <row r="1296" spans="4:4">
      <c r="D1296" s="7"/>
    </row>
    <row r="1297" spans="4:4">
      <c r="D1297" s="7"/>
    </row>
    <row r="1298" spans="4:4">
      <c r="D1298" s="7"/>
    </row>
    <row r="1299" spans="4:4">
      <c r="D1299" s="7"/>
    </row>
    <row r="1300" spans="4:4">
      <c r="D1300" s="7"/>
    </row>
    <row r="1301" spans="4:4">
      <c r="D1301" s="7"/>
    </row>
    <row r="1302" spans="4:4">
      <c r="D1302" s="7"/>
    </row>
    <row r="1303" spans="4:4">
      <c r="D1303" s="7"/>
    </row>
    <row r="1304" spans="4:4">
      <c r="D1304" s="7"/>
    </row>
    <row r="1305" spans="4:4">
      <c r="D1305" s="7"/>
    </row>
    <row r="1306" spans="4:4">
      <c r="D1306" s="7"/>
    </row>
    <row r="1307" spans="4:4">
      <c r="D1307" s="7"/>
    </row>
    <row r="1308" spans="4:4">
      <c r="D1308" s="7"/>
    </row>
    <row r="1309" spans="4:4">
      <c r="D1309" s="7"/>
    </row>
    <row r="1310" spans="4:4">
      <c r="D1310" s="7"/>
    </row>
    <row r="1311" spans="4:4">
      <c r="D1311" s="7"/>
    </row>
    <row r="1312" spans="4:4">
      <c r="D1312" s="7"/>
    </row>
    <row r="1313" spans="4:4">
      <c r="D1313" s="7"/>
    </row>
    <row r="1314" spans="4:4">
      <c r="D1314" s="7"/>
    </row>
    <row r="1315" spans="4:4">
      <c r="D1315" s="7"/>
    </row>
    <row r="1316" spans="4:4">
      <c r="D1316" s="7"/>
    </row>
    <row r="1317" spans="4:4">
      <c r="D1317" s="7"/>
    </row>
    <row r="1318" spans="4:4">
      <c r="D1318" s="7"/>
    </row>
    <row r="1319" spans="4:4">
      <c r="D1319" s="7"/>
    </row>
    <row r="1320" spans="4:4">
      <c r="D1320" s="7"/>
    </row>
    <row r="1321" spans="4:4">
      <c r="D1321" s="7"/>
    </row>
    <row r="1322" spans="4:4">
      <c r="D1322" s="7"/>
    </row>
    <row r="1323" spans="4:4">
      <c r="D1323" s="7"/>
    </row>
    <row r="1324" spans="4:4">
      <c r="D1324" s="7"/>
    </row>
    <row r="1325" spans="4:4">
      <c r="D1325" s="7"/>
    </row>
    <row r="1326" spans="4:4">
      <c r="D1326" s="7"/>
    </row>
    <row r="1327" spans="4:4">
      <c r="D1327" s="7"/>
    </row>
    <row r="1328" spans="4:4">
      <c r="D1328" s="7"/>
    </row>
    <row r="1329" spans="4:4">
      <c r="D1329" s="7"/>
    </row>
    <row r="1330" spans="4:4">
      <c r="D1330" s="7"/>
    </row>
    <row r="1331" spans="4:4">
      <c r="D1331" s="7"/>
    </row>
    <row r="1332" spans="4:4">
      <c r="D1332" s="7"/>
    </row>
    <row r="1333" spans="4:4">
      <c r="D1333" s="7"/>
    </row>
    <row r="1334" spans="4:4">
      <c r="D1334" s="7"/>
    </row>
    <row r="1335" spans="4:4">
      <c r="D1335" s="7"/>
    </row>
    <row r="1336" spans="4:4">
      <c r="D1336" s="7"/>
    </row>
    <row r="1337" spans="4:4">
      <c r="D1337" s="7"/>
    </row>
    <row r="1338" spans="4:4">
      <c r="D1338" s="7"/>
    </row>
    <row r="1339" spans="4:4">
      <c r="D1339" s="7"/>
    </row>
    <row r="1340" spans="4:4">
      <c r="D1340" s="7"/>
    </row>
    <row r="1341" spans="4:4">
      <c r="D1341" s="7"/>
    </row>
    <row r="1342" spans="4:4">
      <c r="D1342" s="7"/>
    </row>
    <row r="1343" spans="4:4">
      <c r="D1343" s="7"/>
    </row>
    <row r="1344" spans="4:4">
      <c r="D1344" s="7"/>
    </row>
    <row r="1345" spans="4:4">
      <c r="D1345" s="7"/>
    </row>
    <row r="1346" spans="4:4">
      <c r="D1346" s="7"/>
    </row>
    <row r="1347" spans="4:4">
      <c r="D1347" s="7"/>
    </row>
    <row r="1348" spans="4:4">
      <c r="D1348" s="7"/>
    </row>
    <row r="1349" spans="4:4">
      <c r="D1349" s="7"/>
    </row>
    <row r="1350" spans="4:4">
      <c r="D1350" s="7"/>
    </row>
    <row r="1351" spans="4:4">
      <c r="D1351" s="7"/>
    </row>
    <row r="1352" spans="4:4">
      <c r="D1352" s="7"/>
    </row>
    <row r="1353" spans="4:4">
      <c r="D1353" s="7"/>
    </row>
    <row r="1354" spans="4:4">
      <c r="D1354" s="7"/>
    </row>
    <row r="1355" spans="4:4">
      <c r="D1355" s="7"/>
    </row>
    <row r="1356" spans="4:4">
      <c r="D1356" s="7"/>
    </row>
    <row r="1357" spans="4:4">
      <c r="D1357" s="7"/>
    </row>
    <row r="1358" spans="4:4">
      <c r="D1358" s="7"/>
    </row>
    <row r="1359" spans="4:4">
      <c r="D1359" s="7"/>
    </row>
    <row r="1360" spans="4:4">
      <c r="D1360" s="7"/>
    </row>
    <row r="1361" spans="4:4">
      <c r="D1361" s="7"/>
    </row>
    <row r="1362" spans="4:4">
      <c r="D1362" s="7"/>
    </row>
    <row r="1363" spans="4:4">
      <c r="D1363" s="7"/>
    </row>
    <row r="1364" spans="4:4">
      <c r="D1364" s="7"/>
    </row>
    <row r="1365" spans="4:4">
      <c r="D1365" s="7"/>
    </row>
    <row r="1366" spans="4:4">
      <c r="D1366" s="7"/>
    </row>
    <row r="1367" spans="4:4">
      <c r="D1367" s="7"/>
    </row>
    <row r="1368" spans="4:4">
      <c r="D1368" s="7"/>
    </row>
    <row r="1369" spans="4:4">
      <c r="D1369" s="7"/>
    </row>
    <row r="1370" spans="4:4">
      <c r="D1370" s="7"/>
    </row>
    <row r="1371" spans="4:4">
      <c r="D1371" s="7"/>
    </row>
    <row r="1372" spans="4:4">
      <c r="D1372" s="7"/>
    </row>
    <row r="1373" spans="4:4">
      <c r="D1373" s="7"/>
    </row>
    <row r="1374" spans="4:4">
      <c r="D1374" s="7"/>
    </row>
    <row r="1375" spans="4:4">
      <c r="D1375" s="7"/>
    </row>
    <row r="1376" spans="4:4">
      <c r="D1376" s="7"/>
    </row>
    <row r="1377" spans="4:4">
      <c r="D1377" s="7"/>
    </row>
    <row r="1378" spans="4:4">
      <c r="D1378" s="7"/>
    </row>
    <row r="1379" spans="4:4">
      <c r="D1379" s="7"/>
    </row>
    <row r="1380" spans="4:4">
      <c r="D1380" s="7"/>
    </row>
    <row r="1381" spans="4:4">
      <c r="D1381" s="7"/>
    </row>
    <row r="1382" spans="4:4">
      <c r="D1382" s="7"/>
    </row>
    <row r="1383" spans="4:4">
      <c r="D1383" s="7"/>
    </row>
    <row r="1384" spans="4:4">
      <c r="D1384" s="7"/>
    </row>
    <row r="1385" spans="4:4">
      <c r="D1385" s="7"/>
    </row>
    <row r="1386" spans="4:4">
      <c r="D1386" s="7"/>
    </row>
    <row r="1387" spans="4:4">
      <c r="D1387" s="7"/>
    </row>
    <row r="1388" spans="4:4">
      <c r="D1388" s="7"/>
    </row>
    <row r="1389" spans="4:4">
      <c r="D1389" s="7"/>
    </row>
    <row r="1390" spans="4:4">
      <c r="D1390" s="7"/>
    </row>
    <row r="1391" spans="4:4">
      <c r="D1391" s="7"/>
    </row>
    <row r="1392" spans="4:4">
      <c r="D1392" s="7"/>
    </row>
    <row r="1393" spans="4:4">
      <c r="D1393" s="7"/>
    </row>
    <row r="1394" spans="4:4">
      <c r="D1394" s="7"/>
    </row>
    <row r="1395" spans="4:4">
      <c r="D1395" s="7"/>
    </row>
    <row r="1396" spans="4:4">
      <c r="D1396" s="7"/>
    </row>
    <row r="1397" spans="4:4">
      <c r="D1397" s="7"/>
    </row>
    <row r="1398" spans="4:4">
      <c r="D1398" s="7"/>
    </row>
    <row r="1399" spans="4:4">
      <c r="D1399" s="7"/>
    </row>
    <row r="1400" spans="4:4">
      <c r="D1400" s="7"/>
    </row>
    <row r="1401" spans="4:4">
      <c r="D1401" s="7"/>
    </row>
    <row r="1402" spans="4:4">
      <c r="D1402" s="7"/>
    </row>
    <row r="1403" spans="4:4">
      <c r="D1403" s="7"/>
    </row>
    <row r="1404" spans="4:4">
      <c r="D1404" s="7"/>
    </row>
    <row r="1405" spans="4:4">
      <c r="D1405" s="7"/>
    </row>
    <row r="1406" spans="4:4">
      <c r="D1406" s="7"/>
    </row>
    <row r="1407" spans="4:4">
      <c r="D1407" s="7"/>
    </row>
    <row r="1408" spans="4:4">
      <c r="D1408" s="7"/>
    </row>
    <row r="1409" spans="4:4">
      <c r="D1409" s="7"/>
    </row>
    <row r="1410" spans="4:4">
      <c r="D1410" s="7"/>
    </row>
    <row r="1411" spans="4:4">
      <c r="D1411" s="7"/>
    </row>
    <row r="1412" spans="4:4">
      <c r="D1412" s="7"/>
    </row>
    <row r="1413" spans="4:4">
      <c r="D1413" s="7"/>
    </row>
    <row r="1414" spans="4:4">
      <c r="D1414" s="7"/>
    </row>
    <row r="1415" spans="4:4">
      <c r="D1415" s="7"/>
    </row>
    <row r="1416" spans="4:4">
      <c r="D1416" s="7"/>
    </row>
    <row r="1417" spans="4:4">
      <c r="D1417" s="7"/>
    </row>
    <row r="1418" spans="4:4">
      <c r="D1418" s="7"/>
    </row>
    <row r="1419" spans="4:4">
      <c r="D1419" s="7"/>
    </row>
    <row r="1420" spans="4:4">
      <c r="D1420" s="7"/>
    </row>
    <row r="1421" spans="4:4">
      <c r="D1421" s="7"/>
    </row>
    <row r="1422" spans="4:4">
      <c r="D1422" s="7"/>
    </row>
    <row r="1423" spans="4:4">
      <c r="D1423" s="7"/>
    </row>
    <row r="1424" spans="4:4">
      <c r="D1424" s="7"/>
    </row>
    <row r="1425" spans="4:4">
      <c r="D1425" s="7"/>
    </row>
    <row r="1426" spans="4:4">
      <c r="D1426" s="7"/>
    </row>
    <row r="1427" spans="4:4">
      <c r="D1427" s="7"/>
    </row>
    <row r="1428" spans="4:4">
      <c r="D1428" s="7"/>
    </row>
    <row r="1429" spans="4:4">
      <c r="D1429" s="7"/>
    </row>
    <row r="1430" spans="4:4">
      <c r="D1430" s="7"/>
    </row>
    <row r="1431" spans="4:4">
      <c r="D1431" s="7"/>
    </row>
    <row r="1432" spans="4:4">
      <c r="D1432" s="7"/>
    </row>
    <row r="1433" spans="4:4">
      <c r="D1433" s="7"/>
    </row>
    <row r="1434" spans="4:4">
      <c r="D1434" s="7"/>
    </row>
    <row r="1435" spans="4:4">
      <c r="D1435" s="7"/>
    </row>
    <row r="1436" spans="4:4">
      <c r="D1436" s="7"/>
    </row>
    <row r="1437" spans="4:4">
      <c r="D1437" s="7"/>
    </row>
    <row r="1438" spans="4:4">
      <c r="D1438" s="7"/>
    </row>
    <row r="1439" spans="4:4">
      <c r="D1439" s="7"/>
    </row>
    <row r="1440" spans="4:4">
      <c r="D1440" s="7"/>
    </row>
    <row r="1441" spans="4:4">
      <c r="D1441" s="7"/>
    </row>
    <row r="1442" spans="4:4">
      <c r="D1442" s="7"/>
    </row>
    <row r="1443" spans="4:4">
      <c r="D1443" s="7"/>
    </row>
    <row r="1444" spans="4:4">
      <c r="D1444" s="7"/>
    </row>
    <row r="1445" spans="4:4">
      <c r="D1445" s="7"/>
    </row>
    <row r="1446" spans="4:4">
      <c r="D1446" s="7"/>
    </row>
    <row r="1447" spans="4:4">
      <c r="D1447" s="7"/>
    </row>
    <row r="1448" spans="4:4">
      <c r="D1448" s="7"/>
    </row>
    <row r="1449" spans="4:4">
      <c r="D1449" s="7"/>
    </row>
    <row r="1450" spans="4:4">
      <c r="D1450" s="7"/>
    </row>
    <row r="1451" spans="4:4">
      <c r="D1451" s="7"/>
    </row>
    <row r="1452" spans="4:4">
      <c r="D1452" s="7"/>
    </row>
    <row r="1453" spans="4:4">
      <c r="D1453" s="7"/>
    </row>
    <row r="1454" spans="4:4">
      <c r="D1454" s="7"/>
    </row>
    <row r="1455" spans="4:4">
      <c r="D1455" s="7"/>
    </row>
    <row r="1456" spans="4:4">
      <c r="D1456" s="7"/>
    </row>
    <row r="1457" spans="4:4">
      <c r="D1457" s="7"/>
    </row>
    <row r="1458" spans="4:4">
      <c r="D1458" s="7"/>
    </row>
    <row r="1459" spans="4:4">
      <c r="D1459" s="7"/>
    </row>
    <row r="1460" spans="4:4">
      <c r="D1460" s="7"/>
    </row>
    <row r="1461" spans="4:4">
      <c r="D1461" s="7"/>
    </row>
    <row r="1462" spans="4:4">
      <c r="D1462" s="7"/>
    </row>
    <row r="1463" spans="4:4">
      <c r="D1463" s="7"/>
    </row>
    <row r="1464" spans="4:4">
      <c r="D1464" s="7"/>
    </row>
    <row r="1465" spans="4:4">
      <c r="D1465" s="7"/>
    </row>
    <row r="1466" spans="4:4">
      <c r="D1466" s="7"/>
    </row>
    <row r="1467" spans="4:4">
      <c r="D1467" s="7"/>
    </row>
    <row r="1468" spans="4:4">
      <c r="D1468" s="7"/>
    </row>
    <row r="1469" spans="4:4">
      <c r="D1469" s="7"/>
    </row>
    <row r="1470" spans="4:4">
      <c r="D1470" s="7"/>
    </row>
    <row r="1471" spans="4:4">
      <c r="D1471" s="7"/>
    </row>
    <row r="1472" spans="4:4">
      <c r="D1472" s="7"/>
    </row>
    <row r="1473" spans="4:4">
      <c r="D1473" s="7"/>
    </row>
    <row r="1474" spans="4:4">
      <c r="D1474" s="7"/>
    </row>
    <row r="1475" spans="4:4">
      <c r="D1475" s="7"/>
    </row>
    <row r="1476" spans="4:4">
      <c r="D1476" s="7"/>
    </row>
    <row r="1477" spans="4:4">
      <c r="D1477" s="7"/>
    </row>
    <row r="1478" spans="4:4">
      <c r="D1478" s="7"/>
    </row>
    <row r="1479" spans="4:4">
      <c r="D1479" s="7"/>
    </row>
    <row r="1480" spans="4:4">
      <c r="D1480" s="7"/>
    </row>
    <row r="1481" spans="4:4">
      <c r="D1481" s="7"/>
    </row>
    <row r="1482" spans="4:4">
      <c r="D1482" s="7"/>
    </row>
    <row r="1483" spans="4:4">
      <c r="D1483" s="7"/>
    </row>
    <row r="1484" spans="4:4">
      <c r="D1484" s="7"/>
    </row>
    <row r="1485" spans="4:4">
      <c r="D1485" s="7"/>
    </row>
    <row r="1486" spans="4:4">
      <c r="D1486" s="7"/>
    </row>
    <row r="1487" spans="4:4">
      <c r="D1487" s="7"/>
    </row>
    <row r="1488" spans="4:4">
      <c r="D1488" s="7"/>
    </row>
    <row r="1489" spans="4:4">
      <c r="D1489" s="7"/>
    </row>
    <row r="1490" spans="4:4">
      <c r="D1490" s="7"/>
    </row>
    <row r="1491" spans="4:4">
      <c r="D1491" s="7"/>
    </row>
    <row r="1492" spans="4:4">
      <c r="D1492" s="7"/>
    </row>
    <row r="1493" spans="4:4">
      <c r="D1493" s="7"/>
    </row>
    <row r="1494" spans="4:4">
      <c r="D1494" s="7"/>
    </row>
    <row r="1495" spans="4:4">
      <c r="D1495" s="7"/>
    </row>
    <row r="1496" spans="4:4">
      <c r="D1496" s="7"/>
    </row>
    <row r="1497" spans="4:4">
      <c r="D1497" s="7"/>
    </row>
    <row r="1498" spans="4:4">
      <c r="D1498" s="7"/>
    </row>
    <row r="1499" spans="4:4">
      <c r="D1499" s="7"/>
    </row>
    <row r="1500" spans="4:4">
      <c r="D1500" s="7"/>
    </row>
    <row r="1501" spans="4:4">
      <c r="D1501" s="7"/>
    </row>
    <row r="1502" spans="4:4">
      <c r="D1502" s="7"/>
    </row>
    <row r="1503" spans="4:4">
      <c r="D1503" s="7"/>
    </row>
    <row r="1504" spans="4:4">
      <c r="D1504" s="7"/>
    </row>
    <row r="1505" spans="4:4">
      <c r="D1505" s="7"/>
    </row>
    <row r="1506" spans="4:4">
      <c r="D1506" s="7"/>
    </row>
    <row r="1507" spans="4:4">
      <c r="D1507" s="7"/>
    </row>
    <row r="1508" spans="4:4">
      <c r="D1508" s="7"/>
    </row>
    <row r="1509" spans="4:4">
      <c r="D1509" s="7"/>
    </row>
    <row r="1510" spans="4:4">
      <c r="D1510" s="7"/>
    </row>
    <row r="1511" spans="4:4">
      <c r="D1511" s="7"/>
    </row>
    <row r="1512" spans="4:4">
      <c r="D1512" s="7"/>
    </row>
    <row r="1513" spans="4:4">
      <c r="D1513" s="7"/>
    </row>
    <row r="1514" spans="4:4">
      <c r="D1514" s="7"/>
    </row>
    <row r="1515" spans="4:4">
      <c r="D1515" s="7"/>
    </row>
    <row r="1516" spans="4:4">
      <c r="D1516" s="7"/>
    </row>
    <row r="1517" spans="4:4">
      <c r="D1517" s="7"/>
    </row>
    <row r="1518" spans="4:4">
      <c r="D1518" s="7"/>
    </row>
    <row r="1519" spans="4:4">
      <c r="D1519" s="7"/>
    </row>
    <row r="1520" spans="4:4">
      <c r="D1520" s="7"/>
    </row>
    <row r="1521" spans="4:4">
      <c r="D1521" s="7"/>
    </row>
    <row r="1522" spans="4:4">
      <c r="D1522" s="7"/>
    </row>
    <row r="1523" spans="4:4">
      <c r="D1523" s="7"/>
    </row>
    <row r="1524" spans="4:4">
      <c r="D1524" s="7"/>
    </row>
    <row r="1525" spans="4:4">
      <c r="D1525" s="7"/>
    </row>
    <row r="1526" spans="4:4">
      <c r="D1526" s="7"/>
    </row>
    <row r="1527" spans="4:4">
      <c r="D1527" s="7"/>
    </row>
    <row r="1528" spans="4:4">
      <c r="D1528" s="7"/>
    </row>
    <row r="1529" spans="4:4">
      <c r="D1529" s="7"/>
    </row>
    <row r="1530" spans="4:4">
      <c r="D1530" s="7"/>
    </row>
    <row r="1531" spans="4:4">
      <c r="D1531" s="7"/>
    </row>
    <row r="1532" spans="4:4">
      <c r="D1532" s="7"/>
    </row>
    <row r="1533" spans="4:4">
      <c r="D1533" s="7"/>
    </row>
    <row r="1534" spans="4:4">
      <c r="D1534" s="7"/>
    </row>
    <row r="1535" spans="4:4">
      <c r="D1535" s="7"/>
    </row>
    <row r="1536" spans="4:4">
      <c r="D1536" s="7"/>
    </row>
    <row r="1537" spans="4:4">
      <c r="D1537" s="7"/>
    </row>
    <row r="1538" spans="4:4">
      <c r="D1538" s="7"/>
    </row>
    <row r="1539" spans="4:4">
      <c r="D1539" s="7"/>
    </row>
    <row r="1540" spans="4:4">
      <c r="D1540" s="7"/>
    </row>
    <row r="1541" spans="4:4">
      <c r="D1541" s="7"/>
    </row>
    <row r="1542" spans="4:4">
      <c r="D1542" s="7"/>
    </row>
    <row r="1543" spans="4:4">
      <c r="D1543" s="7"/>
    </row>
    <row r="1544" spans="4:4">
      <c r="D1544" s="7"/>
    </row>
    <row r="1545" spans="4:4">
      <c r="D1545" s="7"/>
    </row>
    <row r="1546" spans="4:4">
      <c r="D1546" s="7"/>
    </row>
    <row r="1547" spans="4:4">
      <c r="D1547" s="7"/>
    </row>
    <row r="1548" spans="4:4">
      <c r="D1548" s="7"/>
    </row>
    <row r="1549" spans="4:4">
      <c r="D1549" s="7"/>
    </row>
    <row r="1550" spans="4:4">
      <c r="D1550" s="7"/>
    </row>
    <row r="1551" spans="4:4">
      <c r="D1551" s="7"/>
    </row>
    <row r="1552" spans="4:4">
      <c r="D1552" s="7"/>
    </row>
    <row r="1553" spans="4:4">
      <c r="D1553" s="7"/>
    </row>
    <row r="1554" spans="4:4">
      <c r="D1554" s="7"/>
    </row>
    <row r="1555" spans="4:4">
      <c r="D1555" s="7"/>
    </row>
    <row r="1556" spans="4:4">
      <c r="D1556" s="7"/>
    </row>
    <row r="1557" spans="4:4">
      <c r="D1557" s="7"/>
    </row>
    <row r="1558" spans="4:4">
      <c r="D1558" s="7"/>
    </row>
    <row r="1559" spans="4:4">
      <c r="D1559" s="7"/>
    </row>
    <row r="1560" spans="4:4">
      <c r="D1560" s="7"/>
    </row>
    <row r="1561" spans="4:4">
      <c r="D1561" s="7"/>
    </row>
    <row r="1562" spans="4:4">
      <c r="D1562" s="7"/>
    </row>
    <row r="1563" spans="4:4">
      <c r="D1563" s="7"/>
    </row>
    <row r="1564" spans="4:4">
      <c r="D1564" s="7"/>
    </row>
    <row r="1565" spans="4:4">
      <c r="D1565" s="7"/>
    </row>
    <row r="1566" spans="4:4">
      <c r="D1566" s="7"/>
    </row>
    <row r="1567" spans="4:4">
      <c r="D1567" s="7"/>
    </row>
    <row r="1568" spans="4:4">
      <c r="D1568" s="7"/>
    </row>
    <row r="1569" spans="4:4">
      <c r="D1569" s="7"/>
    </row>
    <row r="1570" spans="4:4">
      <c r="D1570" s="7"/>
    </row>
    <row r="1571" spans="4:4">
      <c r="D1571" s="7"/>
    </row>
    <row r="1572" spans="4:4">
      <c r="D1572" s="7"/>
    </row>
    <row r="1573" spans="4:4">
      <c r="D1573" s="7"/>
    </row>
    <row r="1574" spans="4:4">
      <c r="D1574" s="7"/>
    </row>
    <row r="1575" spans="4:4">
      <c r="D1575" s="7"/>
    </row>
    <row r="1576" spans="4:4">
      <c r="D1576" s="7"/>
    </row>
    <row r="1577" spans="4:4">
      <c r="D1577" s="7"/>
    </row>
    <row r="1578" spans="4:4">
      <c r="D1578" s="7"/>
    </row>
    <row r="1579" spans="4:4">
      <c r="D1579" s="7"/>
    </row>
    <row r="1580" spans="4:4">
      <c r="D1580" s="7"/>
    </row>
    <row r="1581" spans="4:4">
      <c r="D1581" s="7"/>
    </row>
    <row r="1582" spans="4:4">
      <c r="D1582" s="7"/>
    </row>
    <row r="1583" spans="4:4">
      <c r="D1583" s="7"/>
    </row>
    <row r="1584" spans="4:4">
      <c r="D1584" s="7"/>
    </row>
    <row r="1585" spans="4:4">
      <c r="D1585" s="7"/>
    </row>
    <row r="1586" spans="4:4">
      <c r="D1586" s="7"/>
    </row>
    <row r="1587" spans="4:4">
      <c r="D1587" s="7"/>
    </row>
    <row r="1588" spans="4:4">
      <c r="D1588" s="7"/>
    </row>
    <row r="1589" spans="4:4">
      <c r="D1589" s="7"/>
    </row>
    <row r="1590" spans="4:4">
      <c r="D1590" s="7"/>
    </row>
    <row r="1591" spans="4:4">
      <c r="D1591" s="7"/>
    </row>
    <row r="1592" spans="4:4">
      <c r="D1592" s="7"/>
    </row>
    <row r="1593" spans="4:4">
      <c r="D1593" s="7"/>
    </row>
    <row r="1594" spans="4:4">
      <c r="D1594" s="7"/>
    </row>
    <row r="1595" spans="4:4">
      <c r="D1595" s="7"/>
    </row>
    <row r="1596" spans="4:4">
      <c r="D1596" s="7"/>
    </row>
    <row r="1597" spans="4:4">
      <c r="D1597" s="7"/>
    </row>
    <row r="1598" spans="4:4">
      <c r="D1598" s="7"/>
    </row>
    <row r="1599" spans="4:4">
      <c r="D1599" s="7"/>
    </row>
    <row r="1600" spans="4:4">
      <c r="D1600" s="7"/>
    </row>
    <row r="1601" spans="4:4">
      <c r="D1601" s="7"/>
    </row>
    <row r="1602" spans="4:4">
      <c r="D1602" s="7"/>
    </row>
    <row r="1603" spans="4:4">
      <c r="D1603" s="7"/>
    </row>
    <row r="1604" spans="4:4">
      <c r="D1604" s="7"/>
    </row>
    <row r="1605" spans="4:4">
      <c r="D1605" s="7"/>
    </row>
    <row r="1606" spans="4:4">
      <c r="D1606" s="7"/>
    </row>
    <row r="1607" spans="4:4">
      <c r="D1607" s="7"/>
    </row>
    <row r="1608" spans="4:4">
      <c r="D1608" s="7"/>
    </row>
    <row r="1609" spans="4:4">
      <c r="D1609" s="7"/>
    </row>
    <row r="1610" spans="4:4">
      <c r="D1610" s="7"/>
    </row>
    <row r="1611" spans="4:4">
      <c r="D1611" s="7"/>
    </row>
    <row r="1612" spans="4:4">
      <c r="D1612" s="7"/>
    </row>
    <row r="1613" spans="4:4">
      <c r="D1613" s="7"/>
    </row>
    <row r="1614" spans="4:4">
      <c r="D1614" s="7"/>
    </row>
    <row r="1615" spans="4:4">
      <c r="D1615" s="7"/>
    </row>
    <row r="1616" spans="4:4">
      <c r="D1616" s="7"/>
    </row>
    <row r="1617" spans="4:4">
      <c r="D1617" s="7"/>
    </row>
    <row r="1618" spans="4:4">
      <c r="D1618" s="7"/>
    </row>
    <row r="1619" spans="4:4">
      <c r="D1619" s="7"/>
    </row>
    <row r="1620" spans="4:4">
      <c r="D1620" s="7"/>
    </row>
    <row r="1621" spans="4:4">
      <c r="D1621" s="7"/>
    </row>
    <row r="1622" spans="4:4">
      <c r="D1622" s="7"/>
    </row>
    <row r="1623" spans="4:4">
      <c r="D1623" s="7"/>
    </row>
    <row r="1624" spans="4:4">
      <c r="D1624" s="7"/>
    </row>
    <row r="1625" spans="4:4">
      <c r="D1625" s="7"/>
    </row>
    <row r="1626" spans="4:4">
      <c r="D1626" s="7"/>
    </row>
    <row r="1627" spans="4:4">
      <c r="D1627" s="7"/>
    </row>
    <row r="1628" spans="4:4">
      <c r="D1628" s="7"/>
    </row>
    <row r="1629" spans="4:4">
      <c r="D1629" s="7"/>
    </row>
    <row r="1630" spans="4:4">
      <c r="D1630" s="7"/>
    </row>
    <row r="1631" spans="4:4">
      <c r="D1631" s="7"/>
    </row>
    <row r="1632" spans="4:4">
      <c r="D1632" s="7"/>
    </row>
    <row r="1633" spans="4:4">
      <c r="D1633" s="7"/>
    </row>
    <row r="1634" spans="4:4">
      <c r="D1634" s="7"/>
    </row>
    <row r="1635" spans="4:4">
      <c r="D1635" s="7"/>
    </row>
    <row r="1636" spans="4:4">
      <c r="D1636" s="7"/>
    </row>
    <row r="1637" spans="4:4">
      <c r="D1637" s="7"/>
    </row>
    <row r="1638" spans="4:4">
      <c r="D1638" s="7"/>
    </row>
    <row r="1639" spans="4:4">
      <c r="D1639" s="7"/>
    </row>
    <row r="1640" spans="4:4">
      <c r="D1640" s="7"/>
    </row>
    <row r="1641" spans="4:4">
      <c r="D1641" s="7"/>
    </row>
    <row r="1642" spans="4:4">
      <c r="D1642" s="7"/>
    </row>
    <row r="1643" spans="4:4">
      <c r="D1643" s="7"/>
    </row>
    <row r="1644" spans="4:4">
      <c r="D1644" s="7"/>
    </row>
    <row r="1645" spans="4:4">
      <c r="D1645" s="7"/>
    </row>
    <row r="1646" spans="4:4">
      <c r="D1646" s="7"/>
    </row>
    <row r="1647" spans="4:4">
      <c r="D1647" s="7"/>
    </row>
    <row r="1648" spans="4:4">
      <c r="D1648" s="7"/>
    </row>
    <row r="1649" spans="4:4">
      <c r="D1649" s="7"/>
    </row>
    <row r="1650" spans="4:4">
      <c r="D1650" s="7"/>
    </row>
    <row r="1651" spans="4:4">
      <c r="D1651" s="7"/>
    </row>
    <row r="1652" spans="4:4">
      <c r="D1652" s="7"/>
    </row>
    <row r="1653" spans="4:4">
      <c r="D1653" s="7"/>
    </row>
    <row r="1654" spans="4:4">
      <c r="D1654" s="7"/>
    </row>
    <row r="1655" spans="4:4">
      <c r="D1655" s="7"/>
    </row>
    <row r="1656" spans="4:4">
      <c r="D1656" s="7"/>
    </row>
    <row r="1657" spans="4:4">
      <c r="D1657" s="7"/>
    </row>
    <row r="1658" spans="4:4">
      <c r="D1658" s="7"/>
    </row>
    <row r="1659" spans="4:4">
      <c r="D1659" s="7"/>
    </row>
    <row r="1660" spans="4:4">
      <c r="D1660" s="7"/>
    </row>
    <row r="1661" spans="4:4">
      <c r="D1661" s="7"/>
    </row>
    <row r="1662" spans="4:4">
      <c r="D1662" s="7"/>
    </row>
    <row r="1663" spans="4:4">
      <c r="D1663" s="7"/>
    </row>
    <row r="1664" spans="4:4">
      <c r="D1664" s="7"/>
    </row>
    <row r="1665" spans="4:4">
      <c r="D1665" s="7"/>
    </row>
    <row r="1666" spans="4:4">
      <c r="D1666" s="7"/>
    </row>
    <row r="1667" spans="4:4">
      <c r="D1667" s="7"/>
    </row>
    <row r="1668" spans="4:4">
      <c r="D1668" s="7"/>
    </row>
    <row r="1669" spans="4:4">
      <c r="D1669" s="7"/>
    </row>
    <row r="1670" spans="4:4">
      <c r="D1670" s="7"/>
    </row>
    <row r="1671" spans="4:4">
      <c r="D1671" s="7"/>
    </row>
    <row r="1672" spans="4:4">
      <c r="D1672" s="7"/>
    </row>
    <row r="1673" spans="4:4">
      <c r="D1673" s="7"/>
    </row>
    <row r="1674" spans="4:4">
      <c r="D1674" s="7"/>
    </row>
    <row r="1675" spans="4:4">
      <c r="D1675" s="7"/>
    </row>
    <row r="1676" spans="4:4">
      <c r="D1676" s="7"/>
    </row>
    <row r="1677" spans="4:4">
      <c r="D1677" s="7"/>
    </row>
    <row r="1678" spans="4:4">
      <c r="D1678" s="7"/>
    </row>
    <row r="1679" spans="4:4">
      <c r="D1679" s="7"/>
    </row>
    <row r="1680" spans="4:4">
      <c r="D1680" s="7"/>
    </row>
    <row r="1681" spans="4:4">
      <c r="D1681" s="7"/>
    </row>
    <row r="1682" spans="4:4">
      <c r="D1682" s="7"/>
    </row>
    <row r="1683" spans="4:4">
      <c r="D1683" s="7"/>
    </row>
    <row r="1684" spans="4:4">
      <c r="D1684" s="7"/>
    </row>
    <row r="1685" spans="4:4">
      <c r="D1685" s="7"/>
    </row>
    <row r="1686" spans="4:4">
      <c r="D1686" s="7"/>
    </row>
    <row r="1687" spans="4:4">
      <c r="D1687" s="7"/>
    </row>
    <row r="1688" spans="4:4">
      <c r="D1688" s="7"/>
    </row>
    <row r="1689" spans="4:4">
      <c r="D1689" s="7"/>
    </row>
    <row r="1690" spans="4:4">
      <c r="D1690" s="7"/>
    </row>
    <row r="1691" spans="4:4">
      <c r="D1691" s="7"/>
    </row>
    <row r="1692" spans="4:4">
      <c r="D1692" s="7"/>
    </row>
    <row r="1693" spans="4:4">
      <c r="D1693" s="7"/>
    </row>
    <row r="1694" spans="4:4">
      <c r="D1694" s="7"/>
    </row>
    <row r="1695" spans="4:4">
      <c r="D1695" s="7"/>
    </row>
    <row r="1696" spans="4:4">
      <c r="D1696" s="7"/>
    </row>
    <row r="1697" spans="4:4">
      <c r="D1697" s="7"/>
    </row>
    <row r="1698" spans="4:4">
      <c r="D1698" s="7"/>
    </row>
    <row r="1699" spans="4:4">
      <c r="D1699" s="7"/>
    </row>
    <row r="1700" spans="4:4">
      <c r="D1700" s="7"/>
    </row>
    <row r="1701" spans="4:4">
      <c r="D1701" s="7"/>
    </row>
    <row r="1702" spans="4:4">
      <c r="D1702" s="7"/>
    </row>
    <row r="1703" spans="4:4">
      <c r="D1703" s="7"/>
    </row>
    <row r="1704" spans="4:4">
      <c r="D1704" s="7"/>
    </row>
    <row r="1705" spans="4:4">
      <c r="D1705" s="7"/>
    </row>
    <row r="1706" spans="4:4">
      <c r="D1706" s="7"/>
    </row>
    <row r="1707" spans="4:4">
      <c r="D1707" s="7"/>
    </row>
    <row r="1708" spans="4:4">
      <c r="D1708" s="7"/>
    </row>
    <row r="1709" spans="4:4">
      <c r="D1709" s="7"/>
    </row>
    <row r="1710" spans="4:4">
      <c r="D1710" s="7"/>
    </row>
    <row r="1711" spans="4:4">
      <c r="D1711" s="7"/>
    </row>
    <row r="1712" spans="4:4">
      <c r="D1712" s="7"/>
    </row>
    <row r="1713" spans="4:4">
      <c r="D1713" s="7"/>
    </row>
    <row r="1714" spans="4:4">
      <c r="D1714" s="7"/>
    </row>
    <row r="1715" spans="4:4">
      <c r="D1715" s="7"/>
    </row>
    <row r="1716" spans="4:4">
      <c r="D1716" s="7"/>
    </row>
    <row r="1717" spans="4:4">
      <c r="D1717" s="7"/>
    </row>
    <row r="1718" spans="4:4">
      <c r="D1718" s="7"/>
    </row>
    <row r="1719" spans="4:4">
      <c r="D1719" s="7"/>
    </row>
    <row r="1720" spans="4:4">
      <c r="D1720" s="7"/>
    </row>
    <row r="1721" spans="4:4">
      <c r="D1721" s="7"/>
    </row>
    <row r="1722" spans="4:4">
      <c r="D1722" s="7"/>
    </row>
    <row r="1723" spans="4:4">
      <c r="D1723" s="7"/>
    </row>
    <row r="1724" spans="4:4">
      <c r="D1724" s="7"/>
    </row>
    <row r="1725" spans="4:4">
      <c r="D1725" s="7"/>
    </row>
    <row r="1726" spans="4:4">
      <c r="D1726" s="7"/>
    </row>
    <row r="1727" spans="4:4">
      <c r="D1727" s="7"/>
    </row>
    <row r="1728" spans="4:4">
      <c r="D1728" s="7"/>
    </row>
    <row r="1729" spans="4:4">
      <c r="D1729" s="7"/>
    </row>
    <row r="1730" spans="4:4">
      <c r="D1730" s="7"/>
    </row>
    <row r="1731" spans="4:4">
      <c r="D1731" s="7"/>
    </row>
    <row r="1732" spans="4:4">
      <c r="D1732" s="7"/>
    </row>
    <row r="1733" spans="4:4">
      <c r="D1733" s="7"/>
    </row>
    <row r="1734" spans="4:4">
      <c r="D1734" s="7"/>
    </row>
    <row r="1735" spans="4:4">
      <c r="D1735" s="7"/>
    </row>
    <row r="1736" spans="4:4">
      <c r="D1736" s="7"/>
    </row>
    <row r="1737" spans="4:4">
      <c r="D1737" s="7"/>
    </row>
    <row r="1738" spans="4:4">
      <c r="D1738" s="7"/>
    </row>
    <row r="1739" spans="4:4">
      <c r="D1739" s="7"/>
    </row>
    <row r="1740" spans="4:4">
      <c r="D1740" s="7"/>
    </row>
    <row r="1741" spans="4:4">
      <c r="D1741" s="7"/>
    </row>
    <row r="1742" spans="4:4">
      <c r="D1742" s="7"/>
    </row>
    <row r="1743" spans="4:4">
      <c r="D1743" s="7"/>
    </row>
    <row r="1744" spans="4:4">
      <c r="D1744" s="7"/>
    </row>
    <row r="1745" spans="4:4">
      <c r="D1745" s="7"/>
    </row>
    <row r="1746" spans="4:4">
      <c r="D1746" s="7"/>
    </row>
    <row r="1747" spans="4:4">
      <c r="D1747" s="7"/>
    </row>
    <row r="1748" spans="4:4">
      <c r="D1748" s="7"/>
    </row>
    <row r="1749" spans="4:4">
      <c r="D1749" s="7"/>
    </row>
    <row r="1750" spans="4:4">
      <c r="D1750" s="7"/>
    </row>
    <row r="1751" spans="4:4">
      <c r="D1751" s="7"/>
    </row>
    <row r="1752" spans="4:4">
      <c r="D1752" s="7"/>
    </row>
    <row r="1753" spans="4:4">
      <c r="D1753" s="7"/>
    </row>
    <row r="1754" spans="4:4">
      <c r="D1754" s="7"/>
    </row>
    <row r="1755" spans="4:4">
      <c r="D1755" s="7"/>
    </row>
    <row r="1756" spans="4:4">
      <c r="D1756" s="7"/>
    </row>
    <row r="1757" spans="4:4">
      <c r="D1757" s="7"/>
    </row>
    <row r="1758" spans="4:4">
      <c r="D1758" s="7"/>
    </row>
    <row r="1759" spans="4:4">
      <c r="D1759" s="7"/>
    </row>
    <row r="1760" spans="4:4">
      <c r="D1760" s="7"/>
    </row>
    <row r="1761" spans="4:4">
      <c r="D1761" s="7"/>
    </row>
    <row r="1762" spans="4:4">
      <c r="D1762" s="7"/>
    </row>
    <row r="1763" spans="4:4">
      <c r="D1763" s="7"/>
    </row>
    <row r="1764" spans="4:4">
      <c r="D1764" s="7"/>
    </row>
    <row r="1765" spans="4:4">
      <c r="D1765" s="7"/>
    </row>
    <row r="1766" spans="4:4">
      <c r="D1766" s="7"/>
    </row>
    <row r="1767" spans="4:4">
      <c r="D1767" s="7"/>
    </row>
    <row r="1768" spans="4:4">
      <c r="D1768" s="7"/>
    </row>
    <row r="1769" spans="4:4">
      <c r="D1769" s="7"/>
    </row>
    <row r="1770" spans="4:4">
      <c r="D1770" s="7"/>
    </row>
    <row r="1771" spans="4:4">
      <c r="D1771" s="7"/>
    </row>
    <row r="1772" spans="4:4">
      <c r="D1772" s="7"/>
    </row>
    <row r="1773" spans="4:4">
      <c r="D1773" s="7"/>
    </row>
    <row r="1774" spans="4:4">
      <c r="D1774" s="7"/>
    </row>
    <row r="1775" spans="4:4">
      <c r="D1775" s="7"/>
    </row>
    <row r="1776" spans="4:4">
      <c r="D1776" s="7"/>
    </row>
    <row r="1777" spans="4:4">
      <c r="D1777" s="7"/>
    </row>
    <row r="1778" spans="4:4">
      <c r="D1778" s="7"/>
    </row>
    <row r="1779" spans="4:4">
      <c r="D1779" s="7"/>
    </row>
    <row r="1780" spans="4:4">
      <c r="D1780" s="7"/>
    </row>
    <row r="1781" spans="4:4">
      <c r="D1781" s="7"/>
    </row>
    <row r="1782" spans="4:4">
      <c r="D1782" s="7"/>
    </row>
    <row r="1783" spans="4:4">
      <c r="D1783" s="7"/>
    </row>
    <row r="1784" spans="4:4">
      <c r="D1784" s="7"/>
    </row>
    <row r="1785" spans="4:4">
      <c r="D1785" s="7"/>
    </row>
    <row r="1786" spans="4:4">
      <c r="D1786" s="7"/>
    </row>
    <row r="1787" spans="4:4">
      <c r="D1787" s="7"/>
    </row>
    <row r="1788" spans="4:4">
      <c r="D1788" s="7"/>
    </row>
    <row r="1789" spans="4:4">
      <c r="D1789" s="7"/>
    </row>
    <row r="1790" spans="4:4">
      <c r="D1790" s="7"/>
    </row>
    <row r="1791" spans="4:4">
      <c r="D1791" s="7"/>
    </row>
    <row r="1792" spans="4:4">
      <c r="D1792" s="7"/>
    </row>
    <row r="1793" spans="4:4">
      <c r="D1793" s="7"/>
    </row>
    <row r="1794" spans="4:4">
      <c r="D1794" s="7"/>
    </row>
    <row r="1795" spans="4:4">
      <c r="D1795" s="7"/>
    </row>
    <row r="1796" spans="4:4">
      <c r="D1796" s="7"/>
    </row>
    <row r="1797" spans="4:4">
      <c r="D1797" s="7"/>
    </row>
    <row r="1798" spans="4:4">
      <c r="D1798" s="7"/>
    </row>
    <row r="1799" spans="4:4">
      <c r="D1799" s="7"/>
    </row>
    <row r="1800" spans="4:4">
      <c r="D1800" s="7"/>
    </row>
    <row r="1801" spans="4:4">
      <c r="D1801" s="7"/>
    </row>
    <row r="1802" spans="4:4">
      <c r="D1802" s="7"/>
    </row>
    <row r="1803" spans="4:4">
      <c r="D1803" s="7"/>
    </row>
    <row r="1804" spans="4:4">
      <c r="D1804" s="7"/>
    </row>
    <row r="1805" spans="4:4">
      <c r="D1805" s="7"/>
    </row>
    <row r="1806" spans="4:4">
      <c r="D1806" s="7"/>
    </row>
    <row r="1807" spans="4:4">
      <c r="D1807" s="7"/>
    </row>
    <row r="1808" spans="4:4">
      <c r="D1808" s="7"/>
    </row>
    <row r="1809" spans="4:4">
      <c r="D1809" s="7"/>
    </row>
    <row r="1810" spans="4:4">
      <c r="D1810" s="7"/>
    </row>
    <row r="1811" spans="4:4">
      <c r="D1811" s="7"/>
    </row>
    <row r="1812" spans="4:4">
      <c r="D1812" s="7"/>
    </row>
    <row r="1813" spans="4:4">
      <c r="D1813" s="7"/>
    </row>
    <row r="1814" spans="4:4">
      <c r="D1814" s="7"/>
    </row>
    <row r="1815" spans="4:4">
      <c r="D1815" s="7"/>
    </row>
    <row r="1816" spans="4:4">
      <c r="D1816" s="7"/>
    </row>
    <row r="1817" spans="4:4">
      <c r="D1817" s="7"/>
    </row>
    <row r="1818" spans="4:4">
      <c r="D1818" s="7"/>
    </row>
    <row r="1819" spans="4:4">
      <c r="D1819" s="7"/>
    </row>
    <row r="1820" spans="4:4">
      <c r="D1820" s="7"/>
    </row>
    <row r="1821" spans="4:4">
      <c r="D1821" s="7"/>
    </row>
    <row r="1822" spans="4:4">
      <c r="D1822" s="7"/>
    </row>
    <row r="1823" spans="4:4">
      <c r="D1823" s="7"/>
    </row>
    <row r="1824" spans="4:4">
      <c r="D1824" s="7"/>
    </row>
    <row r="1825" spans="4:4">
      <c r="D1825" s="7"/>
    </row>
    <row r="1826" spans="4:4">
      <c r="D1826" s="7"/>
    </row>
    <row r="1827" spans="4:4">
      <c r="D1827" s="7"/>
    </row>
    <row r="1828" spans="4:4">
      <c r="D1828" s="7"/>
    </row>
    <row r="1829" spans="4:4">
      <c r="D1829" s="7"/>
    </row>
    <row r="1830" spans="4:4">
      <c r="D1830" s="7"/>
    </row>
    <row r="1831" spans="4:4">
      <c r="D1831" s="7"/>
    </row>
    <row r="1832" spans="4:4">
      <c r="D1832" s="7"/>
    </row>
    <row r="1833" spans="4:4">
      <c r="D1833" s="7"/>
    </row>
    <row r="1834" spans="4:4">
      <c r="D1834" s="7"/>
    </row>
    <row r="1835" spans="4:4">
      <c r="D1835" s="7"/>
    </row>
    <row r="1836" spans="4:4">
      <c r="D1836" s="7"/>
    </row>
    <row r="1837" spans="4:4">
      <c r="D1837" s="7"/>
    </row>
    <row r="1838" spans="4:4">
      <c r="D1838" s="7"/>
    </row>
    <row r="1839" spans="4:4">
      <c r="D1839" s="7"/>
    </row>
    <row r="1840" spans="4:4">
      <c r="D1840" s="7"/>
    </row>
    <row r="1841" spans="4:4">
      <c r="D1841" s="7"/>
    </row>
    <row r="1842" spans="4:4">
      <c r="D1842" s="7"/>
    </row>
    <row r="1843" spans="4:4">
      <c r="D1843" s="7"/>
    </row>
    <row r="1844" spans="4:4">
      <c r="D1844" s="7"/>
    </row>
    <row r="1845" spans="4:4">
      <c r="D1845" s="7"/>
    </row>
    <row r="1846" spans="4:4">
      <c r="D1846" s="7"/>
    </row>
    <row r="1847" spans="4:4">
      <c r="D1847" s="7"/>
    </row>
    <row r="1848" spans="4:4">
      <c r="D1848" s="7"/>
    </row>
    <row r="1849" spans="4:4">
      <c r="D1849" s="7"/>
    </row>
    <row r="1850" spans="4:4">
      <c r="D1850" s="7"/>
    </row>
    <row r="1851" spans="4:4">
      <c r="D1851" s="7"/>
    </row>
    <row r="1852" spans="4:4">
      <c r="D1852" s="7"/>
    </row>
    <row r="1853" spans="4:4">
      <c r="D1853" s="7"/>
    </row>
    <row r="1854" spans="4:4">
      <c r="D1854" s="7"/>
    </row>
    <row r="1855" spans="4:4">
      <c r="D1855" s="7"/>
    </row>
    <row r="1856" spans="4:4">
      <c r="D1856" s="7"/>
    </row>
    <row r="1857" spans="4:4">
      <c r="D1857" s="7"/>
    </row>
    <row r="1858" spans="4:4">
      <c r="D1858" s="7"/>
    </row>
    <row r="1859" spans="4:4">
      <c r="D1859" s="7"/>
    </row>
    <row r="1860" spans="4:4">
      <c r="D1860" s="7"/>
    </row>
    <row r="1861" spans="4:4">
      <c r="D1861" s="7"/>
    </row>
    <row r="1862" spans="4:4">
      <c r="D1862" s="7"/>
    </row>
    <row r="1863" spans="4:4">
      <c r="D1863" s="7"/>
    </row>
    <row r="1864" spans="4:4">
      <c r="D1864" s="7"/>
    </row>
    <row r="1865" spans="4:4">
      <c r="D1865" s="7"/>
    </row>
    <row r="1866" spans="4:4">
      <c r="D1866" s="7"/>
    </row>
    <row r="1867" spans="4:4">
      <c r="D1867" s="7"/>
    </row>
    <row r="1868" spans="4:4">
      <c r="D1868" s="7"/>
    </row>
    <row r="1869" spans="4:4">
      <c r="D1869" s="7"/>
    </row>
    <row r="1870" spans="4:4">
      <c r="D1870" s="7"/>
    </row>
    <row r="1871" spans="4:4">
      <c r="D1871" s="7"/>
    </row>
    <row r="1872" spans="4:4">
      <c r="D1872" s="7"/>
    </row>
    <row r="1873" spans="4:4">
      <c r="D1873" s="7"/>
    </row>
    <row r="1874" spans="4:4">
      <c r="D1874" s="7"/>
    </row>
    <row r="1875" spans="4:4">
      <c r="D1875" s="7"/>
    </row>
    <row r="1876" spans="4:4">
      <c r="D1876" s="7"/>
    </row>
    <row r="1877" spans="4:4">
      <c r="D1877" s="7"/>
    </row>
    <row r="1878" spans="4:4">
      <c r="D1878" s="7"/>
    </row>
    <row r="1879" spans="4:4">
      <c r="D1879" s="7"/>
    </row>
    <row r="1880" spans="4:4">
      <c r="D1880" s="7"/>
    </row>
    <row r="1881" spans="4:4">
      <c r="D1881" s="7"/>
    </row>
    <row r="1882" spans="4:4">
      <c r="D1882" s="7"/>
    </row>
    <row r="1883" spans="4:4">
      <c r="D1883" s="7"/>
    </row>
    <row r="1884" spans="4:4">
      <c r="D1884" s="7"/>
    </row>
    <row r="1885" spans="4:4">
      <c r="D1885" s="7"/>
    </row>
    <row r="1886" spans="4:4">
      <c r="D1886" s="7"/>
    </row>
    <row r="1887" spans="4:4">
      <c r="D1887" s="7"/>
    </row>
    <row r="1888" spans="4:4">
      <c r="D1888" s="7"/>
    </row>
    <row r="1889" spans="4:4">
      <c r="D1889" s="7"/>
    </row>
    <row r="1890" spans="4:4">
      <c r="D1890" s="7"/>
    </row>
    <row r="1891" spans="4:4">
      <c r="D1891" s="7"/>
    </row>
    <row r="1892" spans="4:4">
      <c r="D1892" s="7"/>
    </row>
    <row r="1893" spans="4:4">
      <c r="D1893" s="7"/>
    </row>
    <row r="1894" spans="4:4">
      <c r="D1894" s="7"/>
    </row>
    <row r="1895" spans="4:4">
      <c r="D1895" s="7"/>
    </row>
    <row r="1896" spans="4:4">
      <c r="D1896" s="7"/>
    </row>
    <row r="1897" spans="4:4">
      <c r="D1897" s="7"/>
    </row>
    <row r="1898" spans="4:4">
      <c r="D1898" s="7"/>
    </row>
    <row r="1899" spans="4:4">
      <c r="D1899" s="7"/>
    </row>
    <row r="1900" spans="4:4">
      <c r="D1900" s="7"/>
    </row>
    <row r="1901" spans="4:4">
      <c r="D1901" s="7"/>
    </row>
    <row r="1902" spans="4:4">
      <c r="D1902" s="7"/>
    </row>
    <row r="1903" spans="4:4">
      <c r="D1903" s="7"/>
    </row>
    <row r="1904" spans="4:4">
      <c r="D1904" s="7"/>
    </row>
    <row r="1905" spans="4:4">
      <c r="D1905" s="7"/>
    </row>
    <row r="1906" spans="4:4">
      <c r="D1906" s="7"/>
    </row>
    <row r="1907" spans="4:4">
      <c r="D1907" s="7"/>
    </row>
    <row r="1908" spans="4:4">
      <c r="D1908" s="7"/>
    </row>
    <row r="1909" spans="4:4">
      <c r="D1909" s="7"/>
    </row>
    <row r="1910" spans="4:4">
      <c r="D1910" s="7"/>
    </row>
    <row r="1911" spans="4:4">
      <c r="D1911" s="7"/>
    </row>
    <row r="1912" spans="4:4">
      <c r="D1912" s="7"/>
    </row>
    <row r="1913" spans="4:4">
      <c r="D1913" s="7"/>
    </row>
    <row r="1914" spans="4:4">
      <c r="D1914" s="7"/>
    </row>
    <row r="1915" spans="4:4">
      <c r="D1915" s="7"/>
    </row>
    <row r="1916" spans="4:4">
      <c r="D1916" s="7"/>
    </row>
    <row r="1917" spans="4:4">
      <c r="D1917" s="7"/>
    </row>
    <row r="1918" spans="4:4">
      <c r="D1918" s="7"/>
    </row>
    <row r="1919" spans="4:4">
      <c r="D1919" s="7"/>
    </row>
    <row r="1920" spans="4:4">
      <c r="D1920" s="7"/>
    </row>
    <row r="1921" spans="4:4">
      <c r="D1921" s="7"/>
    </row>
    <row r="1922" spans="4:4">
      <c r="D1922" s="7"/>
    </row>
    <row r="1923" spans="4:4">
      <c r="D1923" s="7"/>
    </row>
    <row r="1924" spans="4:4">
      <c r="D1924" s="7"/>
    </row>
    <row r="1925" spans="4:4">
      <c r="D1925" s="7"/>
    </row>
    <row r="1926" spans="4:4">
      <c r="D1926" s="7"/>
    </row>
    <row r="1927" spans="4:4">
      <c r="D1927" s="7"/>
    </row>
    <row r="1928" spans="4:4">
      <c r="D1928" s="7"/>
    </row>
    <row r="1929" spans="4:4">
      <c r="D1929" s="7"/>
    </row>
    <row r="1930" spans="4:4">
      <c r="D1930" s="7"/>
    </row>
    <row r="1931" spans="4:4">
      <c r="D1931" s="7"/>
    </row>
    <row r="1932" spans="4:4">
      <c r="D1932" s="7"/>
    </row>
    <row r="1933" spans="4:4">
      <c r="D1933" s="7"/>
    </row>
    <row r="1934" spans="4:4">
      <c r="D1934" s="7"/>
    </row>
    <row r="1935" spans="4:4">
      <c r="D1935" s="7"/>
    </row>
    <row r="1936" spans="4:4">
      <c r="D1936" s="7"/>
    </row>
    <row r="1937" spans="4:4">
      <c r="D1937" s="7"/>
    </row>
    <row r="1938" spans="4:4">
      <c r="D1938" s="7"/>
    </row>
    <row r="1939" spans="4:4">
      <c r="D1939" s="7"/>
    </row>
    <row r="1940" spans="4:4">
      <c r="D1940" s="7"/>
    </row>
    <row r="1941" spans="4:4">
      <c r="D1941" s="7"/>
    </row>
    <row r="1942" spans="4:4">
      <c r="D1942" s="7"/>
    </row>
    <row r="1943" spans="4:4">
      <c r="D1943" s="7"/>
    </row>
    <row r="1944" spans="4:4">
      <c r="D1944" s="7"/>
    </row>
    <row r="1945" spans="4:4">
      <c r="D1945" s="7"/>
    </row>
    <row r="1946" spans="4:4">
      <c r="D1946" s="7"/>
    </row>
    <row r="1947" spans="4:4">
      <c r="D1947" s="7"/>
    </row>
    <row r="1948" spans="4:4">
      <c r="D1948" s="7"/>
    </row>
    <row r="1949" spans="4:4">
      <c r="D1949" s="7"/>
    </row>
    <row r="1950" spans="4:4">
      <c r="D1950" s="7"/>
    </row>
    <row r="1951" spans="4:4">
      <c r="D1951" s="7"/>
    </row>
    <row r="1952" spans="4:4">
      <c r="D1952" s="7"/>
    </row>
    <row r="1953" spans="4:4">
      <c r="D1953" s="7"/>
    </row>
    <row r="1954" spans="4:4">
      <c r="D1954" s="7"/>
    </row>
    <row r="1955" spans="4:4">
      <c r="D1955" s="7"/>
    </row>
    <row r="1956" spans="4:4">
      <c r="D1956" s="7"/>
    </row>
    <row r="1957" spans="4:4">
      <c r="D1957" s="7"/>
    </row>
    <row r="1958" spans="4:4">
      <c r="D1958" s="7"/>
    </row>
    <row r="1959" spans="4:4">
      <c r="D1959" s="7"/>
    </row>
    <row r="1960" spans="4:4">
      <c r="D1960" s="7"/>
    </row>
    <row r="1961" spans="4:4">
      <c r="D1961" s="7"/>
    </row>
    <row r="1962" spans="4:4">
      <c r="D1962" s="7"/>
    </row>
    <row r="1963" spans="4:4">
      <c r="D1963" s="7"/>
    </row>
    <row r="1964" spans="4:4">
      <c r="D1964" s="7"/>
    </row>
    <row r="1965" spans="4:4">
      <c r="D1965" s="7"/>
    </row>
    <row r="1966" spans="4:4">
      <c r="D1966" s="7"/>
    </row>
    <row r="1967" spans="4:4">
      <c r="D1967" s="7"/>
    </row>
    <row r="1968" spans="4:4">
      <c r="D1968" s="7"/>
    </row>
    <row r="1969" spans="4:4">
      <c r="D1969" s="7"/>
    </row>
    <row r="1970" spans="4:4">
      <c r="D1970" s="7"/>
    </row>
    <row r="1971" spans="4:4">
      <c r="D1971" s="7"/>
    </row>
    <row r="1972" spans="4:4">
      <c r="D1972" s="7"/>
    </row>
    <row r="1973" spans="4:4">
      <c r="D1973" s="7"/>
    </row>
    <row r="1974" spans="4:4">
      <c r="D1974" s="7"/>
    </row>
    <row r="1975" spans="4:4">
      <c r="D1975" s="7"/>
    </row>
    <row r="1976" spans="4:4">
      <c r="D1976" s="7"/>
    </row>
    <row r="1977" spans="4:4">
      <c r="D1977" s="7"/>
    </row>
    <row r="1978" spans="4:4">
      <c r="D1978" s="7"/>
    </row>
    <row r="1979" spans="4:4">
      <c r="D1979" s="7"/>
    </row>
    <row r="1980" spans="4:4">
      <c r="D1980" s="7"/>
    </row>
    <row r="1981" spans="4:4">
      <c r="D1981" s="7"/>
    </row>
    <row r="1982" spans="4:4">
      <c r="D1982" s="7"/>
    </row>
    <row r="1983" spans="4:4">
      <c r="D1983" s="7"/>
    </row>
    <row r="1984" spans="4:4">
      <c r="D1984" s="7"/>
    </row>
    <row r="1985" spans="4:4">
      <c r="D1985" s="7"/>
    </row>
    <row r="1986" spans="4:4">
      <c r="D1986" s="7"/>
    </row>
    <row r="1987" spans="4:4">
      <c r="D1987" s="7"/>
    </row>
    <row r="1988" spans="4:4">
      <c r="D1988" s="7"/>
    </row>
    <row r="1989" spans="4:4">
      <c r="D1989" s="7"/>
    </row>
    <row r="1990" spans="4:4">
      <c r="D1990" s="7"/>
    </row>
    <row r="1991" spans="4:4">
      <c r="D1991" s="7"/>
    </row>
    <row r="1992" spans="4:4">
      <c r="D1992" s="7"/>
    </row>
    <row r="1993" spans="4:4">
      <c r="D1993" s="7"/>
    </row>
    <row r="1994" spans="4:4">
      <c r="D1994" s="7"/>
    </row>
    <row r="1995" spans="4:4">
      <c r="D1995" s="7"/>
    </row>
    <row r="1996" spans="4:4">
      <c r="D1996" s="7"/>
    </row>
    <row r="1997" spans="4:4">
      <c r="D1997" s="7"/>
    </row>
    <row r="1998" spans="4:4">
      <c r="D1998" s="7"/>
    </row>
    <row r="1999" spans="4:4">
      <c r="D1999" s="7"/>
    </row>
    <row r="2000" spans="4:4">
      <c r="D2000" s="7"/>
    </row>
    <row r="2001" spans="4:4">
      <c r="D2001" s="7"/>
    </row>
    <row r="2002" spans="4:4">
      <c r="D2002" s="7"/>
    </row>
    <row r="2003" spans="4:4">
      <c r="D2003" s="7"/>
    </row>
    <row r="2004" spans="4:4">
      <c r="D2004" s="7"/>
    </row>
    <row r="2005" spans="4:4">
      <c r="D2005" s="7"/>
    </row>
    <row r="2006" spans="4:4">
      <c r="D2006" s="7"/>
    </row>
    <row r="2007" spans="4:4">
      <c r="D2007" s="7"/>
    </row>
    <row r="2008" spans="4:4">
      <c r="D2008" s="7"/>
    </row>
    <row r="2009" spans="4:4">
      <c r="D2009" s="7"/>
    </row>
    <row r="2010" spans="4:4">
      <c r="D2010" s="7"/>
    </row>
    <row r="2011" spans="4:4">
      <c r="D2011" s="7"/>
    </row>
    <row r="2012" spans="4:4">
      <c r="D2012" s="7"/>
    </row>
    <row r="2013" spans="4:4">
      <c r="D2013" s="7"/>
    </row>
    <row r="2014" spans="4:4">
      <c r="D2014" s="7"/>
    </row>
    <row r="2015" spans="4:4">
      <c r="D2015" s="7"/>
    </row>
    <row r="2016" spans="4:4">
      <c r="D2016" s="7"/>
    </row>
    <row r="2017" spans="4:4">
      <c r="D2017" s="7"/>
    </row>
    <row r="2018" spans="4:4">
      <c r="D2018" s="7"/>
    </row>
    <row r="2019" spans="4:4">
      <c r="D2019" s="7"/>
    </row>
    <row r="2020" spans="4:4">
      <c r="D2020" s="7"/>
    </row>
    <row r="2021" spans="4:4">
      <c r="D2021" s="7"/>
    </row>
    <row r="2022" spans="4:4">
      <c r="D2022" s="7"/>
    </row>
    <row r="2023" spans="4:4">
      <c r="D2023" s="7"/>
    </row>
    <row r="2024" spans="4:4">
      <c r="D2024" s="7"/>
    </row>
    <row r="2025" spans="4:4">
      <c r="D2025" s="7"/>
    </row>
    <row r="2026" spans="4:4">
      <c r="D2026" s="7"/>
    </row>
    <row r="2027" spans="4:4">
      <c r="D2027" s="7"/>
    </row>
    <row r="2028" spans="4:4">
      <c r="D2028" s="7"/>
    </row>
    <row r="2029" spans="4:4">
      <c r="D2029" s="7"/>
    </row>
    <row r="2030" spans="4:4">
      <c r="D2030" s="7"/>
    </row>
    <row r="2031" spans="4:4">
      <c r="D2031" s="7"/>
    </row>
    <row r="2032" spans="4:4">
      <c r="D2032" s="7"/>
    </row>
    <row r="2033" spans="4:4">
      <c r="D2033" s="7"/>
    </row>
    <row r="2034" spans="4:4">
      <c r="D2034" s="7"/>
    </row>
    <row r="2035" spans="4:4">
      <c r="D2035" s="7"/>
    </row>
    <row r="2036" spans="4:4">
      <c r="D2036" s="7"/>
    </row>
    <row r="2037" spans="4:4">
      <c r="D2037" s="7"/>
    </row>
    <row r="2038" spans="4:4">
      <c r="D2038" s="7"/>
    </row>
    <row r="2039" spans="4:4">
      <c r="D2039" s="7"/>
    </row>
    <row r="2040" spans="4:4">
      <c r="D2040" s="7"/>
    </row>
    <row r="2041" spans="4:4">
      <c r="D2041" s="7"/>
    </row>
    <row r="2042" spans="4:4">
      <c r="D2042" s="7"/>
    </row>
    <row r="2043" spans="4:4">
      <c r="D2043" s="7"/>
    </row>
    <row r="2044" spans="4:4">
      <c r="D2044" s="7"/>
    </row>
    <row r="2045" spans="4:4">
      <c r="D2045" s="7"/>
    </row>
    <row r="2046" spans="4:4">
      <c r="D2046" s="7"/>
    </row>
    <row r="2047" spans="4:4">
      <c r="D2047" s="7"/>
    </row>
    <row r="2048" spans="4:4">
      <c r="D2048" s="7"/>
    </row>
    <row r="2049" spans="4:4">
      <c r="D2049" s="7"/>
    </row>
    <row r="2050" spans="4:4">
      <c r="D2050" s="7"/>
    </row>
    <row r="2051" spans="4:4">
      <c r="D2051" s="7"/>
    </row>
    <row r="2052" spans="4:4">
      <c r="D2052" s="7"/>
    </row>
    <row r="2053" spans="4:4">
      <c r="D2053" s="7"/>
    </row>
    <row r="2054" spans="4:4">
      <c r="D2054" s="7"/>
    </row>
    <row r="2055" spans="4:4">
      <c r="D2055" s="7"/>
    </row>
    <row r="2056" spans="4:4">
      <c r="D2056" s="7"/>
    </row>
    <row r="2057" spans="4:4">
      <c r="D2057" s="7"/>
    </row>
    <row r="2058" spans="4:4">
      <c r="D2058" s="7"/>
    </row>
    <row r="2059" spans="4:4">
      <c r="D2059" s="7"/>
    </row>
    <row r="2060" spans="4:4">
      <c r="D2060" s="7"/>
    </row>
    <row r="2061" spans="4:4">
      <c r="D2061" s="7"/>
    </row>
    <row r="2062" spans="4:4">
      <c r="D2062" s="7"/>
    </row>
    <row r="2063" spans="4:4">
      <c r="D2063" s="7"/>
    </row>
    <row r="2064" spans="4:4">
      <c r="D2064" s="7"/>
    </row>
    <row r="2065" spans="4:4">
      <c r="D2065" s="7"/>
    </row>
    <row r="2066" spans="4:4">
      <c r="D2066" s="7"/>
    </row>
    <row r="2067" spans="4:4">
      <c r="D2067" s="7"/>
    </row>
    <row r="2068" spans="4:4">
      <c r="D2068" s="7"/>
    </row>
    <row r="2069" spans="4:4">
      <c r="D2069" s="7"/>
    </row>
    <row r="2070" spans="4:4">
      <c r="D2070" s="7"/>
    </row>
    <row r="2071" spans="4:4">
      <c r="D2071" s="7"/>
    </row>
    <row r="2072" spans="4:4">
      <c r="D2072" s="7"/>
    </row>
    <row r="2073" spans="4:4">
      <c r="D2073" s="7"/>
    </row>
    <row r="2074" spans="4:4">
      <c r="D2074" s="7"/>
    </row>
    <row r="2075" spans="4:4">
      <c r="D2075" s="7"/>
    </row>
    <row r="2076" spans="4:4">
      <c r="D2076" s="7"/>
    </row>
    <row r="2077" spans="4:4">
      <c r="D2077" s="7"/>
    </row>
    <row r="2078" spans="4:4">
      <c r="D2078" s="7"/>
    </row>
    <row r="2079" spans="4:4">
      <c r="D2079" s="7"/>
    </row>
    <row r="2080" spans="4:4">
      <c r="D2080" s="7"/>
    </row>
    <row r="2081" spans="4:4">
      <c r="D2081" s="7"/>
    </row>
    <row r="2082" spans="4:4">
      <c r="D2082" s="7"/>
    </row>
    <row r="2083" spans="4:4">
      <c r="D2083" s="7"/>
    </row>
    <row r="2084" spans="4:4">
      <c r="D2084" s="7"/>
    </row>
    <row r="2085" spans="4:4">
      <c r="D2085" s="7"/>
    </row>
    <row r="2086" spans="4:4">
      <c r="D2086" s="7"/>
    </row>
    <row r="2087" spans="4:4">
      <c r="D2087" s="7"/>
    </row>
    <row r="2088" spans="4:4">
      <c r="D2088" s="7"/>
    </row>
    <row r="2089" spans="4:4">
      <c r="D2089" s="7"/>
    </row>
    <row r="2090" spans="4:4">
      <c r="D2090" s="7"/>
    </row>
    <row r="2091" spans="4:4">
      <c r="D2091" s="7"/>
    </row>
    <row r="2092" spans="4:4">
      <c r="D2092" s="7"/>
    </row>
    <row r="2093" spans="4:4">
      <c r="D2093" s="7"/>
    </row>
    <row r="2094" spans="4:4">
      <c r="D2094" s="7"/>
    </row>
    <row r="2095" spans="4:4">
      <c r="D2095" s="7"/>
    </row>
    <row r="2096" spans="4:4">
      <c r="D2096" s="7"/>
    </row>
    <row r="2097" spans="4:4">
      <c r="D2097" s="7"/>
    </row>
    <row r="2098" spans="4:4">
      <c r="D2098" s="7"/>
    </row>
    <row r="2099" spans="4:4">
      <c r="D2099" s="7"/>
    </row>
    <row r="2100" spans="4:4">
      <c r="D2100" s="7"/>
    </row>
    <row r="2101" spans="4:4">
      <c r="D2101" s="7"/>
    </row>
    <row r="2102" spans="4:4">
      <c r="D2102" s="7"/>
    </row>
    <row r="2103" spans="4:4">
      <c r="D2103" s="7"/>
    </row>
    <row r="2104" spans="4:4">
      <c r="D2104" s="7"/>
    </row>
    <row r="2105" spans="4:4">
      <c r="D2105" s="7"/>
    </row>
    <row r="2106" spans="4:4">
      <c r="D2106" s="7"/>
    </row>
    <row r="2107" spans="4:4">
      <c r="D2107" s="7"/>
    </row>
    <row r="2108" spans="4:4">
      <c r="D2108" s="7"/>
    </row>
    <row r="2109" spans="4:4">
      <c r="D2109" s="7"/>
    </row>
    <row r="2110" spans="4:4">
      <c r="D2110" s="7"/>
    </row>
    <row r="2111" spans="4:4">
      <c r="D2111" s="7"/>
    </row>
    <row r="2112" spans="4:4">
      <c r="D2112" s="7"/>
    </row>
    <row r="2113" spans="4:4">
      <c r="D2113" s="7"/>
    </row>
    <row r="2114" spans="4:4">
      <c r="D2114" s="7"/>
    </row>
    <row r="2115" spans="4:4">
      <c r="D2115" s="7"/>
    </row>
    <row r="2116" spans="4:4">
      <c r="D2116" s="7"/>
    </row>
    <row r="2117" spans="4:4">
      <c r="D2117" s="7"/>
    </row>
    <row r="2118" spans="4:4">
      <c r="D2118" s="7"/>
    </row>
    <row r="2119" spans="4:4">
      <c r="D2119" s="7"/>
    </row>
    <row r="2120" spans="4:4">
      <c r="D2120" s="7"/>
    </row>
    <row r="2121" spans="4:4">
      <c r="D2121" s="7"/>
    </row>
    <row r="2122" spans="4:4">
      <c r="D2122" s="7"/>
    </row>
    <row r="2123" spans="4:4">
      <c r="D2123" s="7"/>
    </row>
    <row r="2124" spans="4:4">
      <c r="D2124" s="7"/>
    </row>
    <row r="2125" spans="4:4">
      <c r="D2125" s="7"/>
    </row>
    <row r="2126" spans="4:4">
      <c r="D2126" s="7"/>
    </row>
    <row r="2127" spans="4:4">
      <c r="D2127" s="7"/>
    </row>
    <row r="2128" spans="4:4">
      <c r="D2128" s="7"/>
    </row>
    <row r="2129" spans="4:4">
      <c r="D2129" s="7"/>
    </row>
    <row r="2130" spans="4:4">
      <c r="D2130" s="7"/>
    </row>
    <row r="2131" spans="4:4">
      <c r="D2131" s="7"/>
    </row>
    <row r="2132" spans="4:4">
      <c r="D2132" s="7"/>
    </row>
    <row r="2133" spans="4:4">
      <c r="D2133" s="7"/>
    </row>
    <row r="2134" spans="4:4">
      <c r="D2134" s="7"/>
    </row>
    <row r="2135" spans="4:4">
      <c r="D2135" s="7"/>
    </row>
    <row r="2136" spans="4:4">
      <c r="D2136" s="7"/>
    </row>
    <row r="2137" spans="4:4">
      <c r="D2137" s="7"/>
    </row>
    <row r="2138" spans="4:4">
      <c r="D2138" s="7"/>
    </row>
    <row r="2139" spans="4:4">
      <c r="D2139" s="7"/>
    </row>
    <row r="2140" spans="4:4">
      <c r="D2140" s="7"/>
    </row>
    <row r="2141" spans="4:4">
      <c r="D2141" s="7"/>
    </row>
    <row r="2142" spans="4:4">
      <c r="D2142" s="7"/>
    </row>
    <row r="2143" spans="4:4">
      <c r="D2143" s="7"/>
    </row>
    <row r="2144" spans="4:4">
      <c r="D2144" s="7"/>
    </row>
    <row r="2145" spans="4:4">
      <c r="D2145" s="7"/>
    </row>
    <row r="2146" spans="4:4">
      <c r="D2146" s="7"/>
    </row>
    <row r="2147" spans="4:4">
      <c r="D2147" s="7"/>
    </row>
    <row r="2148" spans="4:4">
      <c r="D2148" s="7"/>
    </row>
    <row r="2149" spans="4:4">
      <c r="D2149" s="7"/>
    </row>
    <row r="2150" spans="4:4">
      <c r="D2150" s="7"/>
    </row>
    <row r="2151" spans="4:4">
      <c r="D2151" s="7"/>
    </row>
    <row r="2152" spans="4:4">
      <c r="D2152" s="7"/>
    </row>
    <row r="2153" spans="4:4">
      <c r="D2153" s="7"/>
    </row>
    <row r="2154" spans="4:4">
      <c r="D2154" s="7"/>
    </row>
    <row r="2155" spans="4:4">
      <c r="D2155" s="7"/>
    </row>
    <row r="2156" spans="4:4">
      <c r="D2156" s="7"/>
    </row>
    <row r="2157" spans="4:4">
      <c r="D2157" s="7"/>
    </row>
    <row r="2158" spans="4:4">
      <c r="D2158" s="7"/>
    </row>
    <row r="2159" spans="4:4">
      <c r="D2159" s="7"/>
    </row>
    <row r="2160" spans="4:4">
      <c r="D2160" s="7"/>
    </row>
    <row r="2161" spans="4:4">
      <c r="D2161" s="7"/>
    </row>
    <row r="2162" spans="4:4">
      <c r="D2162" s="7"/>
    </row>
    <row r="2163" spans="4:4">
      <c r="D2163" s="7"/>
    </row>
    <row r="2164" spans="4:4">
      <c r="D2164" s="7"/>
    </row>
    <row r="2165" spans="4:4">
      <c r="D2165" s="7"/>
    </row>
    <row r="2166" spans="4:4">
      <c r="D2166" s="7"/>
    </row>
    <row r="2167" spans="4:4">
      <c r="D2167" s="7"/>
    </row>
    <row r="2168" spans="4:4">
      <c r="D2168" s="7"/>
    </row>
    <row r="2169" spans="4:4">
      <c r="D2169" s="7"/>
    </row>
    <row r="2170" spans="4:4">
      <c r="D2170" s="7"/>
    </row>
    <row r="2171" spans="4:4">
      <c r="D2171" s="7"/>
    </row>
    <row r="2172" spans="4:4">
      <c r="D2172" s="7"/>
    </row>
    <row r="2173" spans="4:4">
      <c r="D2173" s="7"/>
    </row>
    <row r="2174" spans="4:4">
      <c r="D2174" s="7"/>
    </row>
    <row r="2175" spans="4:4">
      <c r="D2175" s="7"/>
    </row>
    <row r="2176" spans="4:4">
      <c r="D2176" s="7"/>
    </row>
    <row r="2177" spans="4:4">
      <c r="D2177" s="7"/>
    </row>
    <row r="2178" spans="4:4">
      <c r="D2178" s="7"/>
    </row>
    <row r="2179" spans="4:4">
      <c r="D2179" s="7"/>
    </row>
    <row r="2180" spans="4:4">
      <c r="D2180" s="7"/>
    </row>
    <row r="2181" spans="4:4">
      <c r="D2181" s="7"/>
    </row>
    <row r="2182" spans="4:4">
      <c r="D2182" s="7"/>
    </row>
    <row r="2183" spans="4:4">
      <c r="D2183" s="7"/>
    </row>
    <row r="2184" spans="4:4">
      <c r="D2184" s="7"/>
    </row>
    <row r="2185" spans="4:4">
      <c r="D2185" s="7"/>
    </row>
    <row r="2186" spans="4:4">
      <c r="D2186" s="7"/>
    </row>
    <row r="2187" spans="4:4">
      <c r="D2187" s="7"/>
    </row>
    <row r="2188" spans="4:4">
      <c r="D2188" s="7"/>
    </row>
    <row r="2189" spans="4:4">
      <c r="D2189" s="7"/>
    </row>
    <row r="2190" spans="4:4">
      <c r="D2190" s="7"/>
    </row>
    <row r="2191" spans="4:4">
      <c r="D2191" s="7"/>
    </row>
    <row r="2192" spans="4:4">
      <c r="D2192" s="7"/>
    </row>
    <row r="2193" spans="4:4">
      <c r="D2193" s="7"/>
    </row>
    <row r="2194" spans="4:4">
      <c r="D2194" s="7"/>
    </row>
    <row r="2195" spans="4:4">
      <c r="D2195" s="7"/>
    </row>
    <row r="2196" spans="4:4">
      <c r="D2196" s="7"/>
    </row>
    <row r="2197" spans="4:4">
      <c r="D2197" s="7"/>
    </row>
    <row r="2198" spans="4:4">
      <c r="D2198" s="7"/>
    </row>
    <row r="2199" spans="4:4">
      <c r="D2199" s="7"/>
    </row>
    <row r="2200" spans="4:4">
      <c r="D2200" s="7"/>
    </row>
    <row r="2201" spans="4:4">
      <c r="D2201" s="7"/>
    </row>
    <row r="2202" spans="4:4">
      <c r="D2202" s="7"/>
    </row>
    <row r="2203" spans="4:4">
      <c r="D2203" s="7"/>
    </row>
    <row r="2204" spans="4:4">
      <c r="D2204" s="7"/>
    </row>
    <row r="2205" spans="4:4">
      <c r="D2205" s="7"/>
    </row>
    <row r="2206" spans="4:4">
      <c r="D2206" s="7"/>
    </row>
    <row r="2207" spans="4:4">
      <c r="D2207" s="7"/>
    </row>
    <row r="2208" spans="4:4">
      <c r="D2208" s="7"/>
    </row>
    <row r="2209" spans="4:4">
      <c r="D2209" s="7"/>
    </row>
    <row r="2210" spans="4:4">
      <c r="D2210" s="7"/>
    </row>
    <row r="2211" spans="4:4">
      <c r="D2211" s="7"/>
    </row>
    <row r="2212" spans="4:4">
      <c r="D2212" s="7"/>
    </row>
    <row r="2213" spans="4:4">
      <c r="D2213" s="7"/>
    </row>
    <row r="2214" spans="4:4">
      <c r="D2214" s="7"/>
    </row>
    <row r="2215" spans="4:4">
      <c r="D2215" s="7"/>
    </row>
    <row r="2216" spans="4:4">
      <c r="D2216" s="7"/>
    </row>
    <row r="2217" spans="4:4">
      <c r="D2217" s="7"/>
    </row>
    <row r="2218" spans="4:4">
      <c r="D2218" s="7"/>
    </row>
    <row r="2219" spans="4:4">
      <c r="D2219" s="7"/>
    </row>
    <row r="2220" spans="4:4">
      <c r="D2220" s="7"/>
    </row>
    <row r="2221" spans="4:4">
      <c r="D2221" s="7"/>
    </row>
    <row r="2222" spans="4:4">
      <c r="D2222" s="7"/>
    </row>
    <row r="2223" spans="4:4">
      <c r="D2223" s="7"/>
    </row>
    <row r="2224" spans="4:4">
      <c r="D2224" s="7"/>
    </row>
    <row r="2225" spans="4:4">
      <c r="D2225" s="7"/>
    </row>
    <row r="2226" spans="4:4">
      <c r="D2226" s="7"/>
    </row>
    <row r="2227" spans="4:4">
      <c r="D2227" s="7"/>
    </row>
    <row r="2228" spans="4:4">
      <c r="D2228" s="7"/>
    </row>
    <row r="2229" spans="4:4">
      <c r="D2229" s="7"/>
    </row>
    <row r="2230" spans="4:4">
      <c r="D2230" s="7"/>
    </row>
    <row r="2231" spans="4:4">
      <c r="D2231" s="7"/>
    </row>
    <row r="2232" spans="4:4">
      <c r="D2232" s="7"/>
    </row>
    <row r="2233" spans="4:4">
      <c r="D2233" s="7"/>
    </row>
    <row r="2234" spans="4:4">
      <c r="D2234" s="7"/>
    </row>
    <row r="2235" spans="4:4">
      <c r="D2235" s="7"/>
    </row>
    <row r="2236" spans="4:4">
      <c r="D2236" s="7"/>
    </row>
    <row r="2237" spans="4:4">
      <c r="D2237" s="7"/>
    </row>
    <row r="2238" spans="4:4">
      <c r="D2238" s="7"/>
    </row>
    <row r="2239" spans="4:4">
      <c r="D2239" s="7"/>
    </row>
    <row r="2240" spans="4:4">
      <c r="D2240" s="7"/>
    </row>
    <row r="2241" spans="4:4">
      <c r="D2241" s="7"/>
    </row>
    <row r="2242" spans="4:4">
      <c r="D2242" s="7"/>
    </row>
    <row r="2243" spans="4:4">
      <c r="D2243" s="7"/>
    </row>
    <row r="2244" spans="4:4">
      <c r="D2244" s="7"/>
    </row>
    <row r="2245" spans="4:4">
      <c r="D2245" s="7"/>
    </row>
    <row r="2246" spans="4:4">
      <c r="D2246" s="7"/>
    </row>
    <row r="2247" spans="4:4">
      <c r="D2247" s="7"/>
    </row>
    <row r="2248" spans="4:4">
      <c r="D2248" s="7"/>
    </row>
    <row r="2249" spans="4:4">
      <c r="D2249" s="7"/>
    </row>
    <row r="2250" spans="4:4">
      <c r="D2250" s="7"/>
    </row>
    <row r="2251" spans="4:4">
      <c r="D2251" s="7"/>
    </row>
    <row r="2252" spans="4:4">
      <c r="D2252" s="7"/>
    </row>
    <row r="2253" spans="4:4">
      <c r="D2253" s="7"/>
    </row>
    <row r="2254" spans="4:4">
      <c r="D2254" s="7"/>
    </row>
    <row r="2255" spans="4:4">
      <c r="D2255" s="7"/>
    </row>
    <row r="2256" spans="4:4">
      <c r="D2256" s="7"/>
    </row>
    <row r="2257" spans="4:4">
      <c r="D2257" s="7"/>
    </row>
    <row r="2258" spans="4:4">
      <c r="D2258" s="7"/>
    </row>
    <row r="2259" spans="4:4">
      <c r="D2259" s="7"/>
    </row>
    <row r="2260" spans="4:4">
      <c r="D2260" s="7"/>
    </row>
    <row r="2261" spans="4:4">
      <c r="D2261" s="7"/>
    </row>
    <row r="2262" spans="4:4">
      <c r="D2262" s="7"/>
    </row>
    <row r="2263" spans="4:4">
      <c r="D2263" s="7"/>
    </row>
    <row r="2264" spans="4:4">
      <c r="D2264" s="7"/>
    </row>
    <row r="2265" spans="4:4">
      <c r="D2265" s="7"/>
    </row>
    <row r="2266" spans="4:4">
      <c r="D2266" s="7"/>
    </row>
    <row r="2267" spans="4:4">
      <c r="D2267" s="7"/>
    </row>
    <row r="2268" spans="4:4">
      <c r="D2268" s="7"/>
    </row>
    <row r="2269" spans="4:4">
      <c r="D2269" s="7"/>
    </row>
    <row r="2270" spans="4:4">
      <c r="D2270" s="7"/>
    </row>
    <row r="2271" spans="4:4">
      <c r="D2271" s="7"/>
    </row>
    <row r="2272" spans="4:4">
      <c r="D2272" s="7"/>
    </row>
    <row r="2273" spans="4:4">
      <c r="D2273" s="7"/>
    </row>
    <row r="2274" spans="4:4">
      <c r="D2274" s="7"/>
    </row>
    <row r="2275" spans="4:4">
      <c r="D2275" s="7"/>
    </row>
    <row r="2276" spans="4:4">
      <c r="D2276" s="7"/>
    </row>
    <row r="2277" spans="4:4">
      <c r="D2277" s="7"/>
    </row>
    <row r="2278" spans="4:4">
      <c r="D2278" s="7"/>
    </row>
    <row r="2279" spans="4:4">
      <c r="D2279" s="7"/>
    </row>
    <row r="2280" spans="4:4">
      <c r="D2280" s="7"/>
    </row>
    <row r="2281" spans="4:4">
      <c r="D2281" s="7"/>
    </row>
    <row r="2282" spans="4:4">
      <c r="D2282" s="7"/>
    </row>
    <row r="2283" spans="4:4">
      <c r="D2283" s="7"/>
    </row>
    <row r="2284" spans="4:4">
      <c r="D2284" s="7"/>
    </row>
    <row r="2285" spans="4:4">
      <c r="D2285" s="7"/>
    </row>
    <row r="2286" spans="4:4">
      <c r="D2286" s="7"/>
    </row>
    <row r="2287" spans="4:4">
      <c r="D2287" s="7"/>
    </row>
    <row r="2288" spans="4:4">
      <c r="D2288" s="7"/>
    </row>
    <row r="2289" spans="4:4">
      <c r="D2289" s="7"/>
    </row>
    <row r="2290" spans="4:4">
      <c r="D2290" s="7"/>
    </row>
    <row r="2291" spans="4:4">
      <c r="D2291" s="7"/>
    </row>
    <row r="2292" spans="4:4">
      <c r="D2292" s="7"/>
    </row>
    <row r="2293" spans="4:4">
      <c r="D2293" s="7"/>
    </row>
    <row r="2294" spans="4:4">
      <c r="D2294" s="7"/>
    </row>
    <row r="2295" spans="4:4">
      <c r="D2295" s="7"/>
    </row>
    <row r="2296" spans="4:4">
      <c r="D2296" s="7"/>
    </row>
    <row r="2297" spans="4:4">
      <c r="D2297" s="7"/>
    </row>
    <row r="2298" spans="4:4">
      <c r="D2298" s="7"/>
    </row>
    <row r="2299" spans="4:4">
      <c r="D2299" s="7"/>
    </row>
    <row r="2300" spans="4:4">
      <c r="D2300" s="7"/>
    </row>
    <row r="2301" spans="4:4">
      <c r="D2301" s="7"/>
    </row>
    <row r="2302" spans="4:4">
      <c r="D2302" s="7"/>
    </row>
    <row r="2303" spans="4:4">
      <c r="D2303" s="7"/>
    </row>
    <row r="2304" spans="4:4">
      <c r="D2304" s="7"/>
    </row>
    <row r="2305" spans="4:4">
      <c r="D2305" s="7"/>
    </row>
    <row r="2306" spans="4:4">
      <c r="D2306" s="7"/>
    </row>
    <row r="2307" spans="4:4">
      <c r="D2307" s="7"/>
    </row>
    <row r="2308" spans="4:4">
      <c r="D2308" s="7"/>
    </row>
    <row r="2309" spans="4:4">
      <c r="D2309" s="7"/>
    </row>
    <row r="2310" spans="4:4">
      <c r="D2310" s="7"/>
    </row>
    <row r="2311" spans="4:4">
      <c r="D2311" s="7"/>
    </row>
    <row r="2312" spans="4:4">
      <c r="D2312" s="7"/>
    </row>
    <row r="2313" spans="4:4">
      <c r="D2313" s="7"/>
    </row>
    <row r="2314" spans="4:4">
      <c r="D2314" s="7"/>
    </row>
    <row r="2315" spans="4:4">
      <c r="D2315" s="7"/>
    </row>
    <row r="2316" spans="4:4">
      <c r="D2316" s="7"/>
    </row>
    <row r="2317" spans="4:4">
      <c r="D2317" s="7"/>
    </row>
    <row r="2318" spans="4:4">
      <c r="D2318" s="7"/>
    </row>
    <row r="2319" spans="4:4">
      <c r="D2319" s="7"/>
    </row>
    <row r="2320" spans="4:4">
      <c r="D2320" s="7"/>
    </row>
    <row r="2321" spans="4:4">
      <c r="D2321" s="7"/>
    </row>
    <row r="2322" spans="4:4">
      <c r="D2322" s="7"/>
    </row>
    <row r="2323" spans="4:4">
      <c r="D2323" s="7"/>
    </row>
    <row r="2324" spans="4:4">
      <c r="D2324" s="7"/>
    </row>
    <row r="2325" spans="4:4">
      <c r="D2325" s="7"/>
    </row>
    <row r="2326" spans="4:4">
      <c r="D2326" s="7"/>
    </row>
    <row r="2327" spans="4:4">
      <c r="D2327" s="7"/>
    </row>
    <row r="2328" spans="4:4">
      <c r="D2328" s="7"/>
    </row>
    <row r="2329" spans="4:4">
      <c r="D2329" s="7"/>
    </row>
    <row r="2330" spans="4:4">
      <c r="D2330" s="7"/>
    </row>
    <row r="2331" spans="4:4">
      <c r="D2331" s="7"/>
    </row>
    <row r="2332" spans="4:4">
      <c r="D2332" s="7"/>
    </row>
    <row r="2333" spans="4:4">
      <c r="D2333" s="7"/>
    </row>
    <row r="2334" spans="4:4">
      <c r="D2334" s="7"/>
    </row>
    <row r="2335" spans="4:4">
      <c r="D2335" s="7"/>
    </row>
    <row r="2336" spans="4:4">
      <c r="D2336" s="7"/>
    </row>
    <row r="2337" spans="4:4">
      <c r="D2337" s="7"/>
    </row>
    <row r="2338" spans="4:4">
      <c r="D2338" s="7"/>
    </row>
    <row r="2339" spans="4:4">
      <c r="D2339" s="7"/>
    </row>
    <row r="2340" spans="4:4">
      <c r="D2340" s="7"/>
    </row>
    <row r="2341" spans="4:4">
      <c r="D2341" s="7"/>
    </row>
    <row r="2342" spans="4:4">
      <c r="D2342" s="7"/>
    </row>
    <row r="2343" spans="4:4">
      <c r="D2343" s="7"/>
    </row>
    <row r="2344" spans="4:4">
      <c r="D2344" s="7"/>
    </row>
    <row r="2345" spans="4:4">
      <c r="D2345" s="7"/>
    </row>
    <row r="2346" spans="4:4">
      <c r="D2346" s="7"/>
    </row>
    <row r="2347" spans="4:4">
      <c r="D2347" s="7"/>
    </row>
    <row r="2348" spans="4:4">
      <c r="D2348" s="7"/>
    </row>
    <row r="2349" spans="4:4">
      <c r="D2349" s="7"/>
    </row>
    <row r="2350" spans="4:4">
      <c r="D2350" s="7"/>
    </row>
    <row r="2351" spans="4:4">
      <c r="D2351" s="7"/>
    </row>
    <row r="2352" spans="4:4">
      <c r="D2352" s="7"/>
    </row>
    <row r="2353" spans="4:4">
      <c r="D2353" s="7"/>
    </row>
    <row r="2354" spans="4:4">
      <c r="D2354" s="7"/>
    </row>
    <row r="2355" spans="4:4">
      <c r="D2355" s="7"/>
    </row>
    <row r="2356" spans="4:4">
      <c r="D2356" s="7"/>
    </row>
    <row r="2357" spans="4:4">
      <c r="D2357" s="7"/>
    </row>
    <row r="2358" spans="4:4">
      <c r="D2358" s="7"/>
    </row>
    <row r="2359" spans="4:4">
      <c r="D2359" s="7"/>
    </row>
    <row r="2360" spans="4:4">
      <c r="D2360" s="7"/>
    </row>
    <row r="2361" spans="4:4">
      <c r="D2361" s="7"/>
    </row>
    <row r="2362" spans="4:4">
      <c r="D2362" s="7"/>
    </row>
    <row r="2363" spans="4:4">
      <c r="D2363" s="7"/>
    </row>
    <row r="2364" spans="4:4">
      <c r="D2364" s="7"/>
    </row>
    <row r="2365" spans="4:4">
      <c r="D2365" s="7"/>
    </row>
    <row r="2366" spans="4:4">
      <c r="D2366" s="7"/>
    </row>
    <row r="2367" spans="4:4">
      <c r="D2367" s="7"/>
    </row>
    <row r="2368" spans="4:4">
      <c r="D2368" s="7"/>
    </row>
    <row r="2369" spans="4:4">
      <c r="D2369" s="7"/>
    </row>
    <row r="2370" spans="4:4">
      <c r="D2370" s="7"/>
    </row>
    <row r="2371" spans="4:4">
      <c r="D2371" s="7"/>
    </row>
    <row r="2372" spans="4:4">
      <c r="D2372" s="7"/>
    </row>
    <row r="2373" spans="4:4">
      <c r="D2373" s="7"/>
    </row>
    <row r="2374" spans="4:4">
      <c r="D2374" s="7"/>
    </row>
    <row r="2375" spans="4:4">
      <c r="D2375" s="7"/>
    </row>
    <row r="2376" spans="4:4">
      <c r="D2376" s="7"/>
    </row>
    <row r="2377" spans="4:4">
      <c r="D2377" s="7"/>
    </row>
    <row r="2378" spans="4:4">
      <c r="D2378" s="7"/>
    </row>
    <row r="2379" spans="4:4">
      <c r="D2379" s="7"/>
    </row>
    <row r="2380" spans="4:4">
      <c r="D2380" s="7"/>
    </row>
    <row r="2381" spans="4:4">
      <c r="D2381" s="7"/>
    </row>
    <row r="2382" spans="4:4">
      <c r="D2382" s="7"/>
    </row>
    <row r="2383" spans="4:4">
      <c r="D2383" s="7"/>
    </row>
    <row r="2384" spans="4:4">
      <c r="D2384" s="7"/>
    </row>
    <row r="2385" spans="4:4">
      <c r="D2385" s="7"/>
    </row>
    <row r="2386" spans="4:4">
      <c r="D2386" s="7"/>
    </row>
    <row r="2387" spans="4:4">
      <c r="D2387" s="7"/>
    </row>
    <row r="2388" spans="4:4">
      <c r="D2388" s="7"/>
    </row>
    <row r="2389" spans="4:4">
      <c r="D2389" s="7"/>
    </row>
    <row r="2390" spans="4:4">
      <c r="D2390" s="7"/>
    </row>
    <row r="2391" spans="4:4">
      <c r="D2391" s="7"/>
    </row>
    <row r="2392" spans="4:4">
      <c r="D2392" s="7"/>
    </row>
    <row r="2393" spans="4:4">
      <c r="D2393" s="7"/>
    </row>
    <row r="2394" spans="4:4">
      <c r="D2394" s="7"/>
    </row>
    <row r="2395" spans="4:4">
      <c r="D2395" s="7"/>
    </row>
    <row r="2396" spans="4:4">
      <c r="D2396" s="7"/>
    </row>
    <row r="2397" spans="4:4">
      <c r="D2397" s="7"/>
    </row>
    <row r="2398" spans="4:4">
      <c r="D2398" s="7"/>
    </row>
    <row r="2399" spans="4:4">
      <c r="D2399" s="7"/>
    </row>
    <row r="2400" spans="4:4">
      <c r="D2400" s="7"/>
    </row>
    <row r="2401" spans="4:4">
      <c r="D2401" s="7"/>
    </row>
    <row r="2402" spans="4:4">
      <c r="D2402" s="7"/>
    </row>
    <row r="2403" spans="4:4">
      <c r="D2403" s="7"/>
    </row>
    <row r="2404" spans="4:4">
      <c r="D2404" s="7"/>
    </row>
    <row r="2405" spans="4:4">
      <c r="D2405" s="7"/>
    </row>
    <row r="2406" spans="4:4">
      <c r="D2406" s="7"/>
    </row>
    <row r="2407" spans="4:4">
      <c r="D2407" s="7"/>
    </row>
    <row r="2408" spans="4:4">
      <c r="D2408" s="7"/>
    </row>
    <row r="2409" spans="4:4">
      <c r="D2409" s="7"/>
    </row>
    <row r="2410" spans="4:4">
      <c r="D2410" s="7"/>
    </row>
    <row r="2411" spans="4:4">
      <c r="D2411" s="7"/>
    </row>
    <row r="2412" spans="4:4">
      <c r="D2412" s="7"/>
    </row>
    <row r="2413" spans="4:4">
      <c r="D2413" s="7"/>
    </row>
    <row r="2414" spans="4:4">
      <c r="D2414" s="7"/>
    </row>
    <row r="2415" spans="4:4">
      <c r="D2415" s="7"/>
    </row>
    <row r="2416" spans="4:4">
      <c r="D2416" s="7"/>
    </row>
    <row r="2417" spans="4:4">
      <c r="D2417" s="7"/>
    </row>
    <row r="2418" spans="4:4">
      <c r="D2418" s="7"/>
    </row>
    <row r="2419" spans="4:4">
      <c r="D2419" s="7"/>
    </row>
    <row r="2420" spans="4:4">
      <c r="D2420" s="7"/>
    </row>
    <row r="2421" spans="4:4">
      <c r="D2421" s="7"/>
    </row>
    <row r="2422" spans="4:4">
      <c r="D2422" s="7"/>
    </row>
    <row r="2423" spans="4:4">
      <c r="D2423" s="7"/>
    </row>
    <row r="2424" spans="4:4">
      <c r="D2424" s="7"/>
    </row>
    <row r="2425" spans="4:4">
      <c r="D2425" s="7"/>
    </row>
    <row r="2426" spans="4:4">
      <c r="D2426" s="7"/>
    </row>
    <row r="2427" spans="4:4">
      <c r="D2427" s="7"/>
    </row>
    <row r="2428" spans="4:4">
      <c r="D2428" s="7"/>
    </row>
    <row r="2429" spans="4:4">
      <c r="D2429" s="7"/>
    </row>
    <row r="2430" spans="4:4">
      <c r="D2430" s="7"/>
    </row>
    <row r="2431" spans="4:4">
      <c r="D2431" s="7"/>
    </row>
    <row r="2432" spans="4:4">
      <c r="D2432" s="7"/>
    </row>
    <row r="2433" spans="4:4">
      <c r="D2433" s="7"/>
    </row>
    <row r="2434" spans="4:4">
      <c r="D2434" s="7"/>
    </row>
    <row r="2435" spans="4:4">
      <c r="D2435" s="7"/>
    </row>
    <row r="2436" spans="4:4">
      <c r="D2436" s="7"/>
    </row>
    <row r="2437" spans="4:4">
      <c r="D2437" s="7"/>
    </row>
    <row r="2438" spans="4:4">
      <c r="D2438" s="7"/>
    </row>
    <row r="2439" spans="4:4">
      <c r="D2439" s="7"/>
    </row>
    <row r="2440" spans="4:4">
      <c r="D2440" s="7"/>
    </row>
    <row r="2441" spans="4:4">
      <c r="D2441" s="7"/>
    </row>
    <row r="2442" spans="4:4">
      <c r="D2442" s="7"/>
    </row>
    <row r="2443" spans="4:4">
      <c r="D2443" s="7"/>
    </row>
    <row r="2444" spans="4:4">
      <c r="D2444" s="7"/>
    </row>
    <row r="2445" spans="4:4">
      <c r="D2445" s="7"/>
    </row>
    <row r="2446" spans="4:4">
      <c r="D2446" s="7"/>
    </row>
    <row r="2447" spans="4:4">
      <c r="D2447" s="7"/>
    </row>
    <row r="2448" spans="4:4">
      <c r="D2448" s="7"/>
    </row>
    <row r="2449" spans="4:4">
      <c r="D2449" s="7"/>
    </row>
    <row r="2450" spans="4:4">
      <c r="D2450" s="7"/>
    </row>
    <row r="2451" spans="4:4">
      <c r="D2451" s="7"/>
    </row>
    <row r="2452" spans="4:4">
      <c r="D2452" s="7"/>
    </row>
    <row r="2453" spans="4:4">
      <c r="D2453" s="7"/>
    </row>
    <row r="2454" spans="4:4">
      <c r="D2454" s="7"/>
    </row>
    <row r="2455" spans="4:4">
      <c r="D2455" s="7"/>
    </row>
    <row r="2456" spans="4:4">
      <c r="D2456" s="7"/>
    </row>
    <row r="2457" spans="4:4">
      <c r="D2457" s="7"/>
    </row>
    <row r="2458" spans="4:4">
      <c r="D2458" s="7"/>
    </row>
    <row r="2459" spans="4:4">
      <c r="D2459" s="7"/>
    </row>
    <row r="2460" spans="4:4">
      <c r="D2460" s="7"/>
    </row>
    <row r="2461" spans="4:4">
      <c r="D2461" s="7"/>
    </row>
    <row r="2462" spans="4:4">
      <c r="D2462" s="7"/>
    </row>
    <row r="2463" spans="4:4">
      <c r="D2463" s="7"/>
    </row>
    <row r="2464" spans="4:4">
      <c r="D2464" s="7"/>
    </row>
    <row r="2465" spans="4:4">
      <c r="D2465" s="7"/>
    </row>
    <row r="2466" spans="4:4">
      <c r="D2466" s="7"/>
    </row>
    <row r="2467" spans="4:4">
      <c r="D2467" s="7"/>
    </row>
    <row r="2468" spans="4:4">
      <c r="D2468" s="7"/>
    </row>
    <row r="2469" spans="4:4">
      <c r="D2469" s="7"/>
    </row>
    <row r="2470" spans="4:4">
      <c r="D2470" s="7"/>
    </row>
    <row r="2471" spans="4:4">
      <c r="D2471" s="7"/>
    </row>
    <row r="2472" spans="4:4">
      <c r="D2472" s="7"/>
    </row>
    <row r="2473" spans="4:4">
      <c r="D2473" s="7"/>
    </row>
    <row r="2474" spans="4:4">
      <c r="D2474" s="7"/>
    </row>
    <row r="2475" spans="4:4">
      <c r="D2475" s="7"/>
    </row>
    <row r="2476" spans="4:4">
      <c r="D2476" s="7"/>
    </row>
    <row r="2477" spans="4:4">
      <c r="D2477" s="7"/>
    </row>
    <row r="2478" spans="4:4">
      <c r="D2478" s="7"/>
    </row>
    <row r="2479" spans="4:4">
      <c r="D2479" s="7"/>
    </row>
    <row r="2480" spans="4:4">
      <c r="D2480" s="7"/>
    </row>
    <row r="2481" spans="4:4">
      <c r="D2481" s="7"/>
    </row>
    <row r="2482" spans="4:4">
      <c r="D2482" s="7"/>
    </row>
    <row r="2483" spans="4:4">
      <c r="D2483" s="7"/>
    </row>
    <row r="2484" spans="4:4">
      <c r="D2484" s="7"/>
    </row>
    <row r="2485" spans="4:4">
      <c r="D2485" s="7"/>
    </row>
    <row r="2486" spans="4:4">
      <c r="D2486" s="7"/>
    </row>
    <row r="2487" spans="4:4">
      <c r="D2487" s="7"/>
    </row>
    <row r="2488" spans="4:4">
      <c r="D2488" s="7"/>
    </row>
    <row r="2489" spans="4:4">
      <c r="D2489" s="7"/>
    </row>
    <row r="2490" spans="4:4">
      <c r="D2490" s="7"/>
    </row>
    <row r="2491" spans="4:4">
      <c r="D2491" s="7"/>
    </row>
    <row r="2492" spans="4:4">
      <c r="D2492" s="7"/>
    </row>
    <row r="2493" spans="4:4">
      <c r="D2493" s="7"/>
    </row>
    <row r="2494" spans="4:4">
      <c r="D2494" s="7"/>
    </row>
    <row r="2495" spans="4:4">
      <c r="D2495" s="7"/>
    </row>
    <row r="2496" spans="4:4">
      <c r="D2496" s="7"/>
    </row>
    <row r="2497" spans="4:4">
      <c r="D2497" s="7"/>
    </row>
    <row r="2498" spans="4:4">
      <c r="D2498" s="7"/>
    </row>
    <row r="2499" spans="4:4">
      <c r="D2499" s="7"/>
    </row>
    <row r="2500" spans="4:4">
      <c r="D2500" s="7"/>
    </row>
    <row r="2501" spans="4:4">
      <c r="D2501" s="7"/>
    </row>
    <row r="2502" spans="4:4">
      <c r="D2502" s="7"/>
    </row>
    <row r="2503" spans="4:4">
      <c r="D2503" s="7"/>
    </row>
    <row r="2504" spans="4:4">
      <c r="D2504" s="7"/>
    </row>
    <row r="2505" spans="4:4">
      <c r="D2505" s="7"/>
    </row>
    <row r="2506" spans="4:4">
      <c r="D2506" s="7"/>
    </row>
    <row r="2507" spans="4:4">
      <c r="D2507" s="7"/>
    </row>
    <row r="2508" spans="4:4">
      <c r="D2508" s="7"/>
    </row>
    <row r="2509" spans="4:4">
      <c r="D2509" s="7"/>
    </row>
    <row r="2510" spans="4:4">
      <c r="D2510" s="7"/>
    </row>
    <row r="2511" spans="4:4">
      <c r="D2511" s="7"/>
    </row>
    <row r="2512" spans="4:4">
      <c r="D2512" s="7"/>
    </row>
    <row r="2513" spans="4:4">
      <c r="D2513" s="7"/>
    </row>
    <row r="2514" spans="4:4">
      <c r="D2514" s="7"/>
    </row>
    <row r="2515" spans="4:4">
      <c r="D2515" s="7"/>
    </row>
    <row r="2516" spans="4:4">
      <c r="D2516" s="7"/>
    </row>
    <row r="2517" spans="4:4">
      <c r="D2517" s="7"/>
    </row>
    <row r="2518" spans="4:4">
      <c r="D2518" s="7"/>
    </row>
    <row r="2519" spans="4:4">
      <c r="D2519" s="7"/>
    </row>
    <row r="2520" spans="4:4">
      <c r="D2520" s="7"/>
    </row>
    <row r="2521" spans="4:4">
      <c r="D2521" s="7"/>
    </row>
    <row r="2522" spans="4:4">
      <c r="D2522" s="7"/>
    </row>
    <row r="2523" spans="4:4">
      <c r="D2523" s="7"/>
    </row>
    <row r="2524" spans="4:4">
      <c r="D2524" s="7"/>
    </row>
    <row r="2525" spans="4:4">
      <c r="D2525" s="7"/>
    </row>
    <row r="2526" spans="4:4">
      <c r="D2526" s="7"/>
    </row>
    <row r="2527" spans="4:4">
      <c r="D2527" s="7"/>
    </row>
    <row r="2528" spans="4:4">
      <c r="D2528" s="7"/>
    </row>
    <row r="2529" spans="4:4">
      <c r="D2529" s="7"/>
    </row>
    <row r="2530" spans="4:4">
      <c r="D2530" s="7"/>
    </row>
    <row r="2531" spans="4:4">
      <c r="D2531" s="7"/>
    </row>
    <row r="2532" spans="4:4">
      <c r="D2532" s="7"/>
    </row>
    <row r="2533" spans="4:4">
      <c r="D2533" s="7"/>
    </row>
    <row r="2534" spans="4:4">
      <c r="D2534" s="7"/>
    </row>
    <row r="2535" spans="4:4">
      <c r="D2535" s="7"/>
    </row>
    <row r="2536" spans="4:4">
      <c r="D2536" s="7"/>
    </row>
    <row r="2537" spans="4:4">
      <c r="D2537" s="7"/>
    </row>
    <row r="2538" spans="4:4">
      <c r="D2538" s="7"/>
    </row>
    <row r="2539" spans="4:4">
      <c r="D2539" s="7"/>
    </row>
    <row r="2540" spans="4:4">
      <c r="D2540" s="7"/>
    </row>
    <row r="2541" spans="4:4">
      <c r="D2541" s="7"/>
    </row>
    <row r="2542" spans="4:4">
      <c r="D2542" s="7"/>
    </row>
    <row r="2543" spans="4:4">
      <c r="D2543" s="7"/>
    </row>
    <row r="2544" spans="4:4">
      <c r="D2544" s="7"/>
    </row>
    <row r="2545" spans="4:4">
      <c r="D2545" s="7"/>
    </row>
    <row r="2546" spans="4:4">
      <c r="D2546" s="7"/>
    </row>
    <row r="2547" spans="4:4">
      <c r="D2547" s="7"/>
    </row>
    <row r="2548" spans="4:4">
      <c r="D2548" s="7"/>
    </row>
    <row r="2549" spans="4:4">
      <c r="D2549" s="7"/>
    </row>
    <row r="2550" spans="4:4">
      <c r="D2550" s="7"/>
    </row>
    <row r="2551" spans="4:4">
      <c r="D2551" s="7"/>
    </row>
    <row r="2552" spans="4:4">
      <c r="D2552" s="7"/>
    </row>
    <row r="2553" spans="4:4">
      <c r="D2553" s="7"/>
    </row>
    <row r="2554" spans="4:4">
      <c r="D2554" s="7"/>
    </row>
    <row r="2555" spans="4:4">
      <c r="D2555" s="7"/>
    </row>
    <row r="2556" spans="4:4">
      <c r="D2556" s="7"/>
    </row>
    <row r="2557" spans="4:4">
      <c r="D2557" s="7"/>
    </row>
    <row r="2558" spans="4:4">
      <c r="D2558" s="7"/>
    </row>
    <row r="2559" spans="4:4">
      <c r="D2559" s="7"/>
    </row>
    <row r="2560" spans="4:4">
      <c r="D2560" s="7"/>
    </row>
    <row r="2561" spans="4:4">
      <c r="D2561" s="7"/>
    </row>
    <row r="2562" spans="4:4">
      <c r="D2562" s="7"/>
    </row>
    <row r="2563" spans="4:4">
      <c r="D2563" s="7"/>
    </row>
    <row r="2564" spans="4:4">
      <c r="D2564" s="7"/>
    </row>
    <row r="2565" spans="4:4">
      <c r="D2565" s="7"/>
    </row>
    <row r="2566" spans="4:4">
      <c r="D2566" s="7"/>
    </row>
    <row r="2567" spans="4:4">
      <c r="D2567" s="7"/>
    </row>
    <row r="2568" spans="4:4">
      <c r="D2568" s="7"/>
    </row>
    <row r="2569" spans="4:4">
      <c r="D2569" s="7"/>
    </row>
    <row r="2570" spans="4:4">
      <c r="D2570" s="7"/>
    </row>
    <row r="2571" spans="4:4">
      <c r="D2571" s="7"/>
    </row>
    <row r="2572" spans="4:4">
      <c r="D2572" s="7"/>
    </row>
    <row r="2573" spans="4:4">
      <c r="D2573" s="7"/>
    </row>
    <row r="2574" spans="4:4">
      <c r="D2574" s="7"/>
    </row>
    <row r="2575" spans="4:4">
      <c r="D2575" s="7"/>
    </row>
    <row r="2576" spans="4:4">
      <c r="D2576" s="7"/>
    </row>
    <row r="2577" spans="4:4">
      <c r="D2577" s="7"/>
    </row>
    <row r="2578" spans="4:4">
      <c r="D2578" s="7"/>
    </row>
    <row r="2579" spans="4:4">
      <c r="D2579" s="7"/>
    </row>
    <row r="2580" spans="4:4">
      <c r="D2580" s="7"/>
    </row>
    <row r="2581" spans="4:4">
      <c r="D2581" s="7"/>
    </row>
    <row r="2582" spans="4:4">
      <c r="D2582" s="7"/>
    </row>
    <row r="2583" spans="4:4">
      <c r="D2583" s="7"/>
    </row>
    <row r="2584" spans="4:4">
      <c r="D2584" s="7"/>
    </row>
    <row r="2585" spans="4:4">
      <c r="D2585" s="7"/>
    </row>
    <row r="2586" spans="4:4">
      <c r="D2586" s="7"/>
    </row>
    <row r="2587" spans="4:4">
      <c r="D2587" s="7"/>
    </row>
    <row r="2588" spans="4:4">
      <c r="D2588" s="7"/>
    </row>
    <row r="2589" spans="4:4">
      <c r="D2589" s="7"/>
    </row>
    <row r="2590" spans="4:4">
      <c r="D2590" s="7"/>
    </row>
    <row r="2591" spans="4:4">
      <c r="D2591" s="7"/>
    </row>
    <row r="2592" spans="4:4">
      <c r="D2592" s="7"/>
    </row>
    <row r="2593" spans="4:4">
      <c r="D2593" s="7"/>
    </row>
    <row r="2594" spans="4:4">
      <c r="D2594" s="7"/>
    </row>
    <row r="2595" spans="4:4">
      <c r="D2595" s="7"/>
    </row>
    <row r="2596" spans="4:4">
      <c r="D2596" s="7"/>
    </row>
    <row r="2597" spans="4:4">
      <c r="D2597" s="7"/>
    </row>
    <row r="2598" spans="4:4">
      <c r="D2598" s="7"/>
    </row>
    <row r="2599" spans="4:4">
      <c r="D2599" s="7"/>
    </row>
    <row r="2600" spans="4:4">
      <c r="D2600" s="7"/>
    </row>
    <row r="2601" spans="4:4">
      <c r="D2601" s="7"/>
    </row>
    <row r="2602" spans="4:4">
      <c r="D2602" s="7"/>
    </row>
    <row r="2603" spans="4:4">
      <c r="D2603" s="7"/>
    </row>
    <row r="2604" spans="4:4">
      <c r="D2604" s="7"/>
    </row>
    <row r="2605" spans="4:4">
      <c r="D2605" s="7"/>
    </row>
    <row r="2606" spans="4:4">
      <c r="D2606" s="7"/>
    </row>
    <row r="2607" spans="4:4">
      <c r="D2607" s="7"/>
    </row>
    <row r="2608" spans="4:4">
      <c r="D2608" s="7"/>
    </row>
    <row r="2609" spans="4:4">
      <c r="D2609" s="7"/>
    </row>
    <row r="2610" spans="4:4">
      <c r="D2610" s="7"/>
    </row>
    <row r="2611" spans="4:4">
      <c r="D2611" s="7"/>
    </row>
    <row r="2612" spans="4:4">
      <c r="D2612" s="7"/>
    </row>
    <row r="2613" spans="4:4">
      <c r="D2613" s="7"/>
    </row>
    <row r="2614" spans="4:4">
      <c r="D2614" s="7"/>
    </row>
    <row r="2615" spans="4:4">
      <c r="D2615" s="7"/>
    </row>
    <row r="2616" spans="4:4">
      <c r="D2616" s="7"/>
    </row>
    <row r="2617" spans="4:4">
      <c r="D2617" s="7"/>
    </row>
    <row r="2618" spans="4:4">
      <c r="D2618" s="7"/>
    </row>
    <row r="2619" spans="4:4">
      <c r="D2619" s="7"/>
    </row>
    <row r="2620" spans="4:4">
      <c r="D2620" s="7"/>
    </row>
    <row r="2621" spans="4:4">
      <c r="D2621" s="7"/>
    </row>
    <row r="2622" spans="4:4">
      <c r="D2622" s="7"/>
    </row>
    <row r="2623" spans="4:4">
      <c r="D2623" s="7"/>
    </row>
    <row r="2624" spans="4:4">
      <c r="D2624" s="7"/>
    </row>
    <row r="2625" spans="4:4">
      <c r="D2625" s="7"/>
    </row>
    <row r="2626" spans="4:4">
      <c r="D2626" s="7"/>
    </row>
    <row r="2627" spans="4:4">
      <c r="D2627" s="7"/>
    </row>
    <row r="2628" spans="4:4">
      <c r="D2628" s="7"/>
    </row>
    <row r="2629" spans="4:4">
      <c r="D2629" s="7"/>
    </row>
    <row r="2630" spans="4:4">
      <c r="D2630" s="7"/>
    </row>
    <row r="2631" spans="4:4">
      <c r="D2631" s="7"/>
    </row>
    <row r="2632" spans="4:4">
      <c r="D2632" s="7"/>
    </row>
    <row r="2633" spans="4:4">
      <c r="D2633" s="7"/>
    </row>
    <row r="2634" spans="4:4">
      <c r="D2634" s="7"/>
    </row>
    <row r="2635" spans="4:4">
      <c r="D2635" s="7"/>
    </row>
    <row r="2636" spans="4:4">
      <c r="D2636" s="7"/>
    </row>
    <row r="2637" spans="4:4">
      <c r="D2637" s="7"/>
    </row>
    <row r="2638" spans="4:4">
      <c r="D2638" s="7"/>
    </row>
    <row r="2639" spans="4:4">
      <c r="D2639" s="7"/>
    </row>
    <row r="2640" spans="4:4">
      <c r="D2640" s="7"/>
    </row>
    <row r="2641" spans="4:4">
      <c r="D2641" s="7"/>
    </row>
    <row r="2642" spans="4:4">
      <c r="D2642" s="7"/>
    </row>
    <row r="2643" spans="4:4">
      <c r="D2643" s="7"/>
    </row>
    <row r="2644" spans="4:4">
      <c r="D2644" s="7"/>
    </row>
    <row r="2645" spans="4:4">
      <c r="D2645" s="7"/>
    </row>
    <row r="2646" spans="4:4">
      <c r="D2646" s="7"/>
    </row>
    <row r="2647" spans="4:4">
      <c r="D2647" s="7"/>
    </row>
    <row r="2648" spans="4:4">
      <c r="D2648" s="7"/>
    </row>
    <row r="2649" spans="4:4">
      <c r="D2649" s="7"/>
    </row>
    <row r="2650" spans="4:4">
      <c r="D2650" s="7"/>
    </row>
    <row r="2651" spans="4:4">
      <c r="D2651" s="7"/>
    </row>
    <row r="2652" spans="4:4">
      <c r="D2652" s="7"/>
    </row>
    <row r="2653" spans="4:4">
      <c r="D2653" s="7"/>
    </row>
    <row r="2654" spans="4:4">
      <c r="D2654" s="7"/>
    </row>
    <row r="2655" spans="4:4">
      <c r="D2655" s="7"/>
    </row>
    <row r="2656" spans="4:4">
      <c r="D2656" s="7"/>
    </row>
    <row r="2657" spans="4:4">
      <c r="D2657" s="7"/>
    </row>
    <row r="2658" spans="4:4">
      <c r="D2658" s="7"/>
    </row>
    <row r="2659" spans="4:4">
      <c r="D2659" s="7"/>
    </row>
    <row r="2660" spans="4:4">
      <c r="D2660" s="7"/>
    </row>
    <row r="2661" spans="4:4">
      <c r="D2661" s="7"/>
    </row>
    <row r="2662" spans="4:4">
      <c r="D2662" s="7"/>
    </row>
    <row r="2663" spans="4:4">
      <c r="D2663" s="7"/>
    </row>
    <row r="2664" spans="4:4">
      <c r="D2664" s="7"/>
    </row>
    <row r="2665" spans="4:4">
      <c r="D2665" s="7"/>
    </row>
    <row r="2666" spans="4:4">
      <c r="D2666" s="7"/>
    </row>
    <row r="2667" spans="4:4">
      <c r="D2667" s="7"/>
    </row>
    <row r="2668" spans="4:4">
      <c r="D2668" s="7"/>
    </row>
    <row r="2669" spans="4:4">
      <c r="D2669" s="7"/>
    </row>
    <row r="2670" spans="4:4">
      <c r="D2670" s="7"/>
    </row>
    <row r="2671" spans="4:4">
      <c r="D2671" s="7"/>
    </row>
    <row r="2672" spans="4:4">
      <c r="D2672" s="7"/>
    </row>
    <row r="2673" spans="4:4">
      <c r="D2673" s="7"/>
    </row>
    <row r="2674" spans="4:4">
      <c r="D2674" s="7"/>
    </row>
    <row r="2675" spans="4:4">
      <c r="D2675" s="7"/>
    </row>
    <row r="2676" spans="4:4">
      <c r="D2676" s="7"/>
    </row>
    <row r="2677" spans="4:4">
      <c r="D2677" s="7"/>
    </row>
    <row r="2678" spans="4:4">
      <c r="D2678" s="7"/>
    </row>
    <row r="2679" spans="4:4">
      <c r="D2679" s="7"/>
    </row>
    <row r="2680" spans="4:4">
      <c r="D2680" s="7"/>
    </row>
    <row r="2681" spans="4:4">
      <c r="D2681" s="7"/>
    </row>
    <row r="2682" spans="4:4">
      <c r="D2682" s="7"/>
    </row>
    <row r="2683" spans="4:4">
      <c r="D2683" s="7"/>
    </row>
    <row r="2684" spans="4:4">
      <c r="D2684" s="7"/>
    </row>
    <row r="2685" spans="4:4">
      <c r="D2685" s="7"/>
    </row>
    <row r="2686" spans="4:4">
      <c r="D2686" s="7"/>
    </row>
    <row r="2687" spans="4:4">
      <c r="D2687" s="7"/>
    </row>
    <row r="2688" spans="4:4">
      <c r="D2688" s="7"/>
    </row>
    <row r="2689" spans="4:4">
      <c r="D2689" s="7"/>
    </row>
    <row r="2690" spans="4:4">
      <c r="D2690" s="7"/>
    </row>
    <row r="2691" spans="4:4">
      <c r="D2691" s="7"/>
    </row>
    <row r="2692" spans="4:4">
      <c r="D2692" s="7"/>
    </row>
    <row r="2693" spans="4:4">
      <c r="D2693" s="7"/>
    </row>
    <row r="2694" spans="4:4">
      <c r="D2694" s="7"/>
    </row>
    <row r="2695" spans="4:4">
      <c r="D2695" s="7"/>
    </row>
    <row r="2696" spans="4:4">
      <c r="D2696" s="7"/>
    </row>
    <row r="2697" spans="4:4">
      <c r="D2697" s="7"/>
    </row>
    <row r="2698" spans="4:4">
      <c r="D2698" s="7"/>
    </row>
    <row r="2699" spans="4:4">
      <c r="D2699" s="7"/>
    </row>
    <row r="2700" spans="4:4">
      <c r="D2700" s="7"/>
    </row>
    <row r="2701" spans="4:4">
      <c r="D2701" s="7"/>
    </row>
    <row r="2702" spans="4:4">
      <c r="D2702" s="7"/>
    </row>
    <row r="2703" spans="4:4">
      <c r="D2703" s="7"/>
    </row>
    <row r="2704" spans="4:4">
      <c r="D2704" s="7"/>
    </row>
    <row r="2705" spans="4:4">
      <c r="D2705" s="7"/>
    </row>
    <row r="2706" spans="4:4">
      <c r="D2706" s="7"/>
    </row>
    <row r="2707" spans="4:4">
      <c r="D2707" s="7"/>
    </row>
    <row r="2708" spans="4:4">
      <c r="D2708" s="7"/>
    </row>
    <row r="2709" spans="4:4">
      <c r="D2709" s="7"/>
    </row>
    <row r="2710" spans="4:4">
      <c r="D2710" s="7"/>
    </row>
    <row r="2711" spans="4:4">
      <c r="D2711" s="7"/>
    </row>
    <row r="2712" spans="4:4">
      <c r="D2712" s="7"/>
    </row>
    <row r="2713" spans="4:4">
      <c r="D2713" s="7"/>
    </row>
    <row r="2714" spans="4:4">
      <c r="D2714" s="7"/>
    </row>
    <row r="2715" spans="4:4">
      <c r="D2715" s="7"/>
    </row>
    <row r="2716" spans="4:4">
      <c r="D2716" s="7"/>
    </row>
    <row r="2717" spans="4:4">
      <c r="D2717" s="7"/>
    </row>
    <row r="2718" spans="4:4">
      <c r="D2718" s="7"/>
    </row>
    <row r="2719" spans="4:4">
      <c r="D2719" s="7"/>
    </row>
    <row r="2720" spans="4:4">
      <c r="D2720" s="7"/>
    </row>
    <row r="2721" spans="4:4">
      <c r="D2721" s="7"/>
    </row>
    <row r="2722" spans="4:4">
      <c r="D2722" s="7"/>
    </row>
    <row r="2723" spans="4:4">
      <c r="D2723" s="7"/>
    </row>
    <row r="2724" spans="4:4">
      <c r="D2724" s="7"/>
    </row>
    <row r="2725" spans="4:4">
      <c r="D2725" s="7"/>
    </row>
    <row r="2726" spans="4:4">
      <c r="D2726" s="7"/>
    </row>
    <row r="2727" spans="4:4">
      <c r="D2727" s="7"/>
    </row>
    <row r="2728" spans="4:4">
      <c r="D2728" s="7"/>
    </row>
    <row r="2729" spans="4:4">
      <c r="D2729" s="7"/>
    </row>
    <row r="2730" spans="4:4">
      <c r="D2730" s="7"/>
    </row>
    <row r="2731" spans="4:4">
      <c r="D2731" s="7"/>
    </row>
    <row r="2732" spans="4:4">
      <c r="D2732" s="7"/>
    </row>
    <row r="2733" spans="4:4">
      <c r="D2733" s="7"/>
    </row>
    <row r="2734" spans="4:4">
      <c r="D2734" s="7"/>
    </row>
    <row r="2735" spans="4:4">
      <c r="D2735" s="7"/>
    </row>
    <row r="2736" spans="4:4">
      <c r="D2736" s="7"/>
    </row>
    <row r="2737" spans="4:4">
      <c r="D2737" s="7"/>
    </row>
    <row r="2738" spans="4:4">
      <c r="D2738" s="7"/>
    </row>
    <row r="2739" spans="4:4">
      <c r="D2739" s="7"/>
    </row>
    <row r="2740" spans="4:4">
      <c r="D2740" s="7"/>
    </row>
    <row r="2741" spans="4:4">
      <c r="D2741" s="7"/>
    </row>
    <row r="2742" spans="4:4">
      <c r="D2742" s="7"/>
    </row>
    <row r="2743" spans="4:4">
      <c r="D2743" s="7"/>
    </row>
    <row r="2744" spans="4:4">
      <c r="D2744" s="7"/>
    </row>
    <row r="2745" spans="4:4">
      <c r="D2745" s="7"/>
    </row>
    <row r="2746" spans="4:4">
      <c r="D2746" s="7"/>
    </row>
    <row r="2747" spans="4:4">
      <c r="D2747" s="7"/>
    </row>
    <row r="2748" spans="4:4">
      <c r="D2748" s="7"/>
    </row>
    <row r="2749" spans="4:4">
      <c r="D2749" s="7"/>
    </row>
    <row r="2750" spans="4:4">
      <c r="D2750" s="7"/>
    </row>
    <row r="2751" spans="4:4">
      <c r="D2751" s="7"/>
    </row>
    <row r="2752" spans="4:4">
      <c r="D2752" s="7"/>
    </row>
    <row r="2753" spans="4:4">
      <c r="D2753" s="7"/>
    </row>
    <row r="2754" spans="4:4">
      <c r="D2754" s="7"/>
    </row>
    <row r="2755" spans="4:4">
      <c r="D2755" s="7"/>
    </row>
    <row r="2756" spans="4:4">
      <c r="D2756" s="7"/>
    </row>
    <row r="2757" spans="4:4">
      <c r="D2757" s="7"/>
    </row>
    <row r="2758" spans="4:4">
      <c r="D2758" s="7"/>
    </row>
    <row r="2759" spans="4:4">
      <c r="D2759" s="7"/>
    </row>
    <row r="2760" spans="4:4">
      <c r="D2760" s="7"/>
    </row>
    <row r="2761" spans="4:4">
      <c r="D2761" s="7"/>
    </row>
    <row r="2762" spans="4:4">
      <c r="D2762" s="7"/>
    </row>
    <row r="2763" spans="4:4">
      <c r="D2763" s="7"/>
    </row>
    <row r="2764" spans="4:4">
      <c r="D2764" s="7"/>
    </row>
    <row r="2765" spans="4:4">
      <c r="D2765" s="7"/>
    </row>
    <row r="2766" spans="4:4">
      <c r="D2766" s="7"/>
    </row>
    <row r="2767" spans="4:4">
      <c r="D2767" s="7"/>
    </row>
    <row r="2768" spans="4:4">
      <c r="D2768" s="7"/>
    </row>
    <row r="2769" spans="4:4">
      <c r="D2769" s="7"/>
    </row>
    <row r="2770" spans="4:4">
      <c r="D2770" s="7"/>
    </row>
    <row r="2771" spans="4:4">
      <c r="D2771" s="7"/>
    </row>
    <row r="2772" spans="4:4">
      <c r="D2772" s="7"/>
    </row>
    <row r="2773" spans="4:4">
      <c r="D2773" s="7"/>
    </row>
    <row r="2774" spans="4:4">
      <c r="D2774" s="7"/>
    </row>
    <row r="2775" spans="4:4">
      <c r="D2775" s="7"/>
    </row>
    <row r="2776" spans="4:4">
      <c r="D2776" s="7"/>
    </row>
    <row r="2777" spans="4:4">
      <c r="D2777" s="7"/>
    </row>
    <row r="2778" spans="4:4">
      <c r="D2778" s="7"/>
    </row>
    <row r="2779" spans="4:4">
      <c r="D2779" s="7"/>
    </row>
    <row r="2780" spans="4:4">
      <c r="D2780" s="7"/>
    </row>
    <row r="2781" spans="4:4">
      <c r="D2781" s="7"/>
    </row>
    <row r="2782" spans="4:4">
      <c r="D2782" s="7"/>
    </row>
    <row r="2783" spans="4:4">
      <c r="D2783" s="7"/>
    </row>
    <row r="2784" spans="4:4">
      <c r="D2784" s="7"/>
    </row>
    <row r="2785" spans="4:4">
      <c r="D2785" s="7"/>
    </row>
    <row r="2786" spans="4:4">
      <c r="D2786" s="7"/>
    </row>
    <row r="2787" spans="4:4">
      <c r="D2787" s="7"/>
    </row>
    <row r="2788" spans="4:4">
      <c r="D2788" s="7"/>
    </row>
    <row r="2789" spans="4:4">
      <c r="D2789" s="7"/>
    </row>
    <row r="2790" spans="4:4">
      <c r="D2790" s="7"/>
    </row>
    <row r="2791" spans="4:4">
      <c r="D2791" s="7"/>
    </row>
    <row r="2792" spans="4:4">
      <c r="D2792" s="7"/>
    </row>
    <row r="2793" spans="4:4">
      <c r="D2793" s="7"/>
    </row>
    <row r="2794" spans="4:4">
      <c r="D2794" s="7"/>
    </row>
    <row r="2795" spans="4:4">
      <c r="D2795" s="7"/>
    </row>
    <row r="2796" spans="4:4">
      <c r="D2796" s="7"/>
    </row>
    <row r="2797" spans="4:4">
      <c r="D2797" s="7"/>
    </row>
    <row r="2798" spans="4:4">
      <c r="D2798" s="7"/>
    </row>
    <row r="2799" spans="4:4">
      <c r="D2799" s="7"/>
    </row>
    <row r="2800" spans="4:4">
      <c r="D2800" s="7"/>
    </row>
    <row r="2801" spans="4:4">
      <c r="D2801" s="7"/>
    </row>
    <row r="2802" spans="4:4">
      <c r="D2802" s="7"/>
    </row>
    <row r="2803" spans="4:4">
      <c r="D2803" s="7"/>
    </row>
    <row r="2804" spans="4:4">
      <c r="D2804" s="7"/>
    </row>
    <row r="2805" spans="4:4">
      <c r="D2805" s="7"/>
    </row>
    <row r="2806" spans="4:4">
      <c r="D2806" s="7"/>
    </row>
    <row r="2807" spans="4:4">
      <c r="D2807" s="7"/>
    </row>
    <row r="2808" spans="4:4">
      <c r="D2808" s="7"/>
    </row>
    <row r="2809" spans="4:4">
      <c r="D2809" s="7"/>
    </row>
    <row r="2810" spans="4:4">
      <c r="D2810" s="7"/>
    </row>
    <row r="2811" spans="4:4">
      <c r="D2811" s="7"/>
    </row>
    <row r="2812" spans="4:4">
      <c r="D2812" s="7"/>
    </row>
    <row r="2813" spans="4:4">
      <c r="D2813" s="7"/>
    </row>
    <row r="2814" spans="4:4">
      <c r="D2814" s="7"/>
    </row>
    <row r="2815" spans="4:4">
      <c r="D2815" s="7"/>
    </row>
    <row r="2816" spans="4:4">
      <c r="D2816" s="7"/>
    </row>
    <row r="2817" spans="4:4">
      <c r="D2817" s="7"/>
    </row>
    <row r="2818" spans="4:4">
      <c r="D2818" s="7"/>
    </row>
    <row r="2819" spans="4:4">
      <c r="D2819" s="7"/>
    </row>
    <row r="2820" spans="4:4">
      <c r="D2820" s="7"/>
    </row>
    <row r="2821" spans="4:4">
      <c r="D2821" s="7"/>
    </row>
    <row r="2822" spans="4:4">
      <c r="D2822" s="7"/>
    </row>
    <row r="2823" spans="4:4">
      <c r="D2823" s="7"/>
    </row>
    <row r="2824" spans="4:4">
      <c r="D2824" s="7"/>
    </row>
    <row r="2825" spans="4:4">
      <c r="D2825" s="7"/>
    </row>
    <row r="2826" spans="4:4">
      <c r="D2826" s="7"/>
    </row>
    <row r="2827" spans="4:4">
      <c r="D2827" s="7"/>
    </row>
    <row r="2828" spans="4:4">
      <c r="D2828" s="7"/>
    </row>
    <row r="2829" spans="4:4">
      <c r="D2829" s="7"/>
    </row>
    <row r="2830" spans="4:4">
      <c r="D2830" s="7"/>
    </row>
    <row r="2831" spans="4:4">
      <c r="D2831" s="7"/>
    </row>
    <row r="2832" spans="4:4">
      <c r="D2832" s="7"/>
    </row>
    <row r="2833" spans="4:4">
      <c r="D2833" s="7"/>
    </row>
    <row r="2834" spans="4:4">
      <c r="D2834" s="7"/>
    </row>
    <row r="2835" spans="4:4">
      <c r="D2835" s="7"/>
    </row>
    <row r="2836" spans="4:4">
      <c r="D2836" s="7"/>
    </row>
    <row r="2837" spans="4:4">
      <c r="D2837" s="7"/>
    </row>
    <row r="2838" spans="4:4">
      <c r="D2838" s="7"/>
    </row>
    <row r="2839" spans="4:4">
      <c r="D2839" s="7"/>
    </row>
    <row r="2840" spans="4:4">
      <c r="D2840" s="7"/>
    </row>
    <row r="2841" spans="4:4">
      <c r="D2841" s="7"/>
    </row>
    <row r="2842" spans="4:4">
      <c r="D2842" s="7"/>
    </row>
    <row r="2843" spans="4:4">
      <c r="D2843" s="7"/>
    </row>
    <row r="2844" spans="4:4">
      <c r="D2844" s="7"/>
    </row>
    <row r="2845" spans="4:4">
      <c r="D2845" s="7"/>
    </row>
    <row r="2846" spans="4:4">
      <c r="D2846" s="7"/>
    </row>
    <row r="2847" spans="4:4">
      <c r="D2847" s="7"/>
    </row>
    <row r="2848" spans="4:4">
      <c r="D2848" s="7"/>
    </row>
    <row r="2849" spans="4:4">
      <c r="D2849" s="7"/>
    </row>
    <row r="2850" spans="4:4">
      <c r="D2850" s="7"/>
    </row>
    <row r="2851" spans="4:4">
      <c r="D2851" s="7"/>
    </row>
    <row r="2852" spans="4:4">
      <c r="D2852" s="7"/>
    </row>
    <row r="2853" spans="4:4">
      <c r="D2853" s="7"/>
    </row>
    <row r="2854" spans="4:4">
      <c r="D2854" s="7"/>
    </row>
    <row r="2855" spans="4:4">
      <c r="D2855" s="7"/>
    </row>
    <row r="2856" spans="4:4">
      <c r="D2856" s="7"/>
    </row>
    <row r="2857" spans="4:4">
      <c r="D2857" s="7"/>
    </row>
    <row r="2858" spans="4:4">
      <c r="D2858" s="7"/>
    </row>
    <row r="2859" spans="4:4">
      <c r="D2859" s="7"/>
    </row>
    <row r="2860" spans="4:4">
      <c r="D2860" s="7"/>
    </row>
    <row r="2861" spans="4:4">
      <c r="D2861" s="7"/>
    </row>
    <row r="2862" spans="4:4">
      <c r="D2862" s="7"/>
    </row>
    <row r="2863" spans="4:4">
      <c r="D2863" s="7"/>
    </row>
    <row r="2864" spans="4:4">
      <c r="D2864" s="7"/>
    </row>
    <row r="2865" spans="4:4">
      <c r="D2865" s="7"/>
    </row>
    <row r="2866" spans="4:4">
      <c r="D2866" s="7"/>
    </row>
    <row r="2867" spans="4:4">
      <c r="D2867" s="7"/>
    </row>
    <row r="2868" spans="4:4">
      <c r="D2868" s="7"/>
    </row>
    <row r="2869" spans="4:4">
      <c r="D2869" s="7"/>
    </row>
    <row r="2870" spans="4:4">
      <c r="D2870" s="7"/>
    </row>
    <row r="2871" spans="4:4">
      <c r="D2871" s="7"/>
    </row>
    <row r="2872" spans="4:4">
      <c r="D2872" s="7"/>
    </row>
    <row r="2873" spans="4:4">
      <c r="D2873" s="7"/>
    </row>
    <row r="2874" spans="4:4">
      <c r="D2874" s="7"/>
    </row>
    <row r="2875" spans="4:4">
      <c r="D2875" s="7"/>
    </row>
    <row r="2876" spans="4:4">
      <c r="D2876" s="7"/>
    </row>
    <row r="2877" spans="4:4">
      <c r="D2877" s="7"/>
    </row>
    <row r="2878" spans="4:4">
      <c r="D2878" s="7"/>
    </row>
    <row r="2879" spans="4:4">
      <c r="D2879" s="7"/>
    </row>
    <row r="2880" spans="4:4">
      <c r="D2880" s="7"/>
    </row>
    <row r="2881" spans="4:4">
      <c r="D2881" s="7"/>
    </row>
    <row r="2882" spans="4:4">
      <c r="D2882" s="7"/>
    </row>
    <row r="2883" spans="4:4">
      <c r="D2883" s="7"/>
    </row>
    <row r="2884" spans="4:4">
      <c r="D2884" s="7"/>
    </row>
    <row r="2885" spans="4:4">
      <c r="D2885" s="7"/>
    </row>
    <row r="2886" spans="4:4">
      <c r="D2886" s="7"/>
    </row>
    <row r="2887" spans="4:4">
      <c r="D2887" s="7"/>
    </row>
    <row r="2888" spans="4:4">
      <c r="D2888" s="7"/>
    </row>
    <row r="2889" spans="4:4">
      <c r="D2889" s="7"/>
    </row>
    <row r="2890" spans="4:4">
      <c r="D2890" s="7"/>
    </row>
    <row r="2891" spans="4:4">
      <c r="D2891" s="7"/>
    </row>
    <row r="2892" spans="4:4">
      <c r="D2892" s="7"/>
    </row>
    <row r="2893" spans="4:4">
      <c r="D2893" s="7"/>
    </row>
    <row r="2894" spans="4:4">
      <c r="D2894" s="7"/>
    </row>
    <row r="2895" spans="4:4">
      <c r="D2895" s="7"/>
    </row>
    <row r="2896" spans="4:4">
      <c r="D2896" s="7"/>
    </row>
    <row r="2897" spans="4:4">
      <c r="D2897" s="7"/>
    </row>
    <row r="2898" spans="4:4">
      <c r="D2898" s="7"/>
    </row>
    <row r="2899" spans="4:4">
      <c r="D2899" s="7"/>
    </row>
    <row r="2900" spans="4:4">
      <c r="D2900" s="7"/>
    </row>
    <row r="2901" spans="4:4">
      <c r="D2901" s="7"/>
    </row>
    <row r="2902" spans="4:4">
      <c r="D2902" s="7"/>
    </row>
    <row r="2903" spans="4:4">
      <c r="D2903" s="7"/>
    </row>
    <row r="2904" spans="4:4">
      <c r="D2904" s="7"/>
    </row>
    <row r="2905" spans="4:4">
      <c r="D2905" s="7"/>
    </row>
    <row r="2906" spans="4:4">
      <c r="D2906" s="7"/>
    </row>
    <row r="2907" spans="4:4">
      <c r="D2907" s="7"/>
    </row>
    <row r="2908" spans="4:4">
      <c r="D2908" s="7"/>
    </row>
    <row r="2909" spans="4:4">
      <c r="D2909" s="7"/>
    </row>
    <row r="2910" spans="4:4">
      <c r="D2910" s="7"/>
    </row>
    <row r="2911" spans="4:4">
      <c r="D2911" s="7"/>
    </row>
    <row r="2912" spans="4:4">
      <c r="D2912" s="7"/>
    </row>
    <row r="2913" spans="4:4">
      <c r="D2913" s="7"/>
    </row>
    <row r="2914" spans="4:4">
      <c r="D2914" s="7"/>
    </row>
    <row r="2915" spans="4:4">
      <c r="D2915" s="7"/>
    </row>
    <row r="2916" spans="4:4">
      <c r="D2916" s="7"/>
    </row>
    <row r="2917" spans="4:4">
      <c r="D2917" s="7"/>
    </row>
    <row r="2918" spans="4:4">
      <c r="D2918" s="7"/>
    </row>
    <row r="2919" spans="4:4">
      <c r="D2919" s="7"/>
    </row>
    <row r="2920" spans="4:4">
      <c r="D2920" s="7"/>
    </row>
    <row r="2921" spans="4:4">
      <c r="D2921" s="7"/>
    </row>
    <row r="2922" spans="4:4">
      <c r="D2922" s="7"/>
    </row>
    <row r="2923" spans="4:4">
      <c r="D2923" s="7"/>
    </row>
    <row r="2924" spans="4:4">
      <c r="D2924" s="7"/>
    </row>
    <row r="2925" spans="4:4">
      <c r="D2925" s="7"/>
    </row>
    <row r="2926" spans="4:4">
      <c r="D2926" s="7"/>
    </row>
    <row r="2927" spans="4:4">
      <c r="D2927" s="7"/>
    </row>
    <row r="2928" spans="4:4">
      <c r="D2928" s="7"/>
    </row>
    <row r="2929" spans="4:4">
      <c r="D2929" s="7"/>
    </row>
    <row r="2930" spans="4:4">
      <c r="D2930" s="7"/>
    </row>
    <row r="2931" spans="4:4">
      <c r="D2931" s="7"/>
    </row>
    <row r="2932" spans="4:4">
      <c r="D2932" s="7"/>
    </row>
    <row r="2933" spans="4:4">
      <c r="D2933" s="7"/>
    </row>
    <row r="2934" spans="4:4">
      <c r="D2934" s="7"/>
    </row>
    <row r="2935" spans="4:4">
      <c r="D2935" s="7"/>
    </row>
    <row r="2936" spans="4:4">
      <c r="D2936" s="7"/>
    </row>
    <row r="2937" spans="4:4">
      <c r="D2937" s="7"/>
    </row>
    <row r="2938" spans="4:4">
      <c r="D2938" s="7"/>
    </row>
    <row r="2939" spans="4:4">
      <c r="D2939" s="7"/>
    </row>
    <row r="2940" spans="4:4">
      <c r="D2940" s="7"/>
    </row>
    <row r="2941" spans="4:4">
      <c r="D2941" s="7"/>
    </row>
    <row r="2942" spans="4:4">
      <c r="D2942" s="7"/>
    </row>
    <row r="2943" spans="4:4">
      <c r="D2943" s="7"/>
    </row>
    <row r="2944" spans="4:4">
      <c r="D2944" s="7"/>
    </row>
    <row r="2945" spans="4:4">
      <c r="D2945" s="7"/>
    </row>
    <row r="2946" spans="4:4">
      <c r="D2946" s="7"/>
    </row>
    <row r="2947" spans="4:4">
      <c r="D2947" s="7"/>
    </row>
    <row r="2948" spans="4:4">
      <c r="D2948" s="7"/>
    </row>
    <row r="2949" spans="4:4">
      <c r="D2949" s="7"/>
    </row>
    <row r="2950" spans="4:4">
      <c r="D2950" s="7"/>
    </row>
    <row r="2951" spans="4:4">
      <c r="D2951" s="7"/>
    </row>
    <row r="2952" spans="4:4">
      <c r="D2952" s="7"/>
    </row>
    <row r="2953" spans="4:4">
      <c r="D2953" s="7"/>
    </row>
    <row r="2954" spans="4:4">
      <c r="D2954" s="7"/>
    </row>
    <row r="2955" spans="4:4">
      <c r="D2955" s="7"/>
    </row>
    <row r="2956" spans="4:4">
      <c r="D2956" s="7"/>
    </row>
    <row r="2957" spans="4:4">
      <c r="D2957" s="7"/>
    </row>
    <row r="2958" spans="4:4">
      <c r="D2958" s="7"/>
    </row>
    <row r="2959" spans="4:4">
      <c r="D2959" s="7"/>
    </row>
    <row r="2960" spans="4:4">
      <c r="D2960" s="7"/>
    </row>
    <row r="2961" spans="4:4">
      <c r="D2961" s="7"/>
    </row>
    <row r="2962" spans="4:4">
      <c r="D2962" s="7"/>
    </row>
    <row r="2963" spans="4:4">
      <c r="D2963" s="7"/>
    </row>
    <row r="2964" spans="4:4">
      <c r="D2964" s="7"/>
    </row>
    <row r="2965" spans="4:4">
      <c r="D2965" s="7"/>
    </row>
    <row r="2966" spans="4:4">
      <c r="D2966" s="7"/>
    </row>
    <row r="2967" spans="4:4">
      <c r="D2967" s="7"/>
    </row>
    <row r="2968" spans="4:4">
      <c r="D2968" s="7"/>
    </row>
    <row r="2969" spans="4:4">
      <c r="D2969" s="7"/>
    </row>
    <row r="2970" spans="4:4">
      <c r="D2970" s="7"/>
    </row>
    <row r="2971" spans="4:4">
      <c r="D2971" s="7"/>
    </row>
    <row r="2972" spans="4:4">
      <c r="D2972" s="7"/>
    </row>
    <row r="2973" spans="4:4">
      <c r="D2973" s="7"/>
    </row>
    <row r="2974" spans="4:4">
      <c r="D2974" s="7"/>
    </row>
    <row r="2975" spans="4:4">
      <c r="D2975" s="7"/>
    </row>
    <row r="2976" spans="4:4">
      <c r="D2976" s="7"/>
    </row>
    <row r="2977" spans="4:4">
      <c r="D2977" s="7"/>
    </row>
    <row r="2978" spans="4:4">
      <c r="D2978" s="7"/>
    </row>
    <row r="2979" spans="4:4">
      <c r="D2979" s="7"/>
    </row>
    <row r="2980" spans="4:4">
      <c r="D2980" s="7"/>
    </row>
    <row r="2981" spans="4:4">
      <c r="D2981" s="7"/>
    </row>
    <row r="2982" spans="4:4">
      <c r="D2982" s="7"/>
    </row>
    <row r="2983" spans="4:4">
      <c r="D2983" s="7"/>
    </row>
    <row r="2984" spans="4:4">
      <c r="D2984" s="7"/>
    </row>
    <row r="2985" spans="4:4">
      <c r="D2985" s="7"/>
    </row>
    <row r="2986" spans="4:4">
      <c r="D2986" s="7"/>
    </row>
    <row r="2987" spans="4:4">
      <c r="D2987" s="7"/>
    </row>
    <row r="2988" spans="4:4">
      <c r="D2988" s="7"/>
    </row>
    <row r="2989" spans="4:4">
      <c r="D2989" s="7"/>
    </row>
    <row r="2990" spans="4:4">
      <c r="D2990" s="7"/>
    </row>
    <row r="2991" spans="4:4">
      <c r="D2991" s="7"/>
    </row>
    <row r="2992" spans="4:4">
      <c r="D2992" s="7"/>
    </row>
    <row r="2993" spans="4:4">
      <c r="D2993" s="7"/>
    </row>
    <row r="2994" spans="4:4">
      <c r="D2994" s="7"/>
    </row>
    <row r="2995" spans="4:4">
      <c r="D2995" s="7"/>
    </row>
    <row r="2996" spans="4:4">
      <c r="D2996" s="7"/>
    </row>
    <row r="2997" spans="4:4">
      <c r="D2997" s="7"/>
    </row>
    <row r="2998" spans="4:4">
      <c r="D2998" s="7"/>
    </row>
    <row r="2999" spans="4:4">
      <c r="D2999" s="7"/>
    </row>
    <row r="3000" spans="4:4">
      <c r="D3000" s="7"/>
    </row>
    <row r="3001" spans="4:4">
      <c r="D3001" s="7"/>
    </row>
    <row r="3002" spans="4:4">
      <c r="D3002" s="7"/>
    </row>
    <row r="3003" spans="4:4">
      <c r="D3003" s="7"/>
    </row>
    <row r="3004" spans="4:4">
      <c r="D3004" s="7"/>
    </row>
    <row r="3005" spans="4:4">
      <c r="D3005" s="7"/>
    </row>
    <row r="3006" spans="4:4">
      <c r="D3006" s="7"/>
    </row>
    <row r="3007" spans="4:4">
      <c r="D3007" s="7"/>
    </row>
    <row r="3008" spans="4:4">
      <c r="D3008" s="7"/>
    </row>
    <row r="3009" spans="4:4">
      <c r="D3009" s="7"/>
    </row>
    <row r="3010" spans="4:4">
      <c r="D3010" s="7"/>
    </row>
    <row r="3011" spans="4:4">
      <c r="D3011" s="7"/>
    </row>
    <row r="3012" spans="4:4">
      <c r="D3012" s="7"/>
    </row>
    <row r="3013" spans="4:4">
      <c r="D3013" s="7"/>
    </row>
    <row r="3014" spans="4:4">
      <c r="D3014" s="7"/>
    </row>
    <row r="3015" spans="4:4">
      <c r="D3015" s="7"/>
    </row>
    <row r="3016" spans="4:4">
      <c r="D3016" s="7"/>
    </row>
    <row r="3017" spans="4:4">
      <c r="D3017" s="7"/>
    </row>
    <row r="3018" spans="4:4">
      <c r="D3018" s="7"/>
    </row>
    <row r="3019" spans="4:4">
      <c r="D3019" s="7"/>
    </row>
    <row r="3020" spans="4:4">
      <c r="D3020" s="7"/>
    </row>
    <row r="3021" spans="4:4">
      <c r="D3021" s="7"/>
    </row>
    <row r="3022" spans="4:4">
      <c r="D3022" s="7"/>
    </row>
    <row r="3023" spans="4:4">
      <c r="D3023" s="7"/>
    </row>
    <row r="3024" spans="4:4">
      <c r="D3024" s="7"/>
    </row>
    <row r="3025" spans="4:4">
      <c r="D3025" s="7"/>
    </row>
    <row r="3026" spans="4:4">
      <c r="D3026" s="7"/>
    </row>
    <row r="3027" spans="4:4">
      <c r="D3027" s="7"/>
    </row>
    <row r="3028" spans="4:4">
      <c r="D3028" s="7"/>
    </row>
    <row r="3029" spans="4:4">
      <c r="D3029" s="7"/>
    </row>
    <row r="3030" spans="4:4">
      <c r="D3030" s="7"/>
    </row>
    <row r="3031" spans="4:4">
      <c r="D3031" s="7"/>
    </row>
    <row r="3032" spans="4:4">
      <c r="D3032" s="7"/>
    </row>
    <row r="3033" spans="4:4">
      <c r="D3033" s="7"/>
    </row>
    <row r="3034" spans="4:4">
      <c r="D3034" s="7"/>
    </row>
    <row r="3035" spans="4:4">
      <c r="D3035" s="7"/>
    </row>
    <row r="3036" spans="4:4">
      <c r="D3036" s="7"/>
    </row>
    <row r="3037" spans="4:4">
      <c r="D3037" s="7"/>
    </row>
    <row r="3038" spans="4:4">
      <c r="D3038" s="7"/>
    </row>
    <row r="3039" spans="4:4">
      <c r="D3039" s="7"/>
    </row>
    <row r="3040" spans="4:4">
      <c r="D3040" s="7"/>
    </row>
    <row r="3041" spans="4:4">
      <c r="D3041" s="7"/>
    </row>
    <row r="3042" spans="4:4">
      <c r="D3042" s="7"/>
    </row>
    <row r="3043" spans="4:4">
      <c r="D3043" s="7"/>
    </row>
    <row r="3044" spans="4:4">
      <c r="D3044" s="7"/>
    </row>
    <row r="3045" spans="4:4">
      <c r="D3045" s="7"/>
    </row>
    <row r="3046" spans="4:4">
      <c r="D3046" s="7"/>
    </row>
    <row r="3047" spans="4:4">
      <c r="D3047" s="7"/>
    </row>
    <row r="3048" spans="4:4">
      <c r="D3048" s="7"/>
    </row>
    <row r="3049" spans="4:4">
      <c r="D3049" s="7"/>
    </row>
    <row r="3050" spans="4:4">
      <c r="D3050" s="7"/>
    </row>
    <row r="3051" spans="4:4">
      <c r="D3051" s="7"/>
    </row>
    <row r="3052" spans="4:4">
      <c r="D3052" s="7"/>
    </row>
    <row r="3053" spans="4:4">
      <c r="D3053" s="7"/>
    </row>
    <row r="3054" spans="4:4">
      <c r="D3054" s="7"/>
    </row>
    <row r="3055" spans="4:4">
      <c r="D3055" s="7"/>
    </row>
    <row r="3056" spans="4:4">
      <c r="D3056" s="7"/>
    </row>
    <row r="3057" spans="4:4">
      <c r="D3057" s="7"/>
    </row>
    <row r="3058" spans="4:4">
      <c r="D3058" s="7"/>
    </row>
    <row r="3059" spans="4:4">
      <c r="D3059" s="7"/>
    </row>
    <row r="3060" spans="4:4">
      <c r="D3060" s="7"/>
    </row>
    <row r="3061" spans="4:4">
      <c r="D3061" s="7"/>
    </row>
    <row r="3062" spans="4:4">
      <c r="D3062" s="7"/>
    </row>
    <row r="3063" spans="4:4">
      <c r="D3063" s="7"/>
    </row>
    <row r="3064" spans="4:4">
      <c r="D3064" s="7"/>
    </row>
    <row r="3065" spans="4:4">
      <c r="D3065" s="7"/>
    </row>
    <row r="3066" spans="4:4">
      <c r="D3066" s="7"/>
    </row>
    <row r="3067" spans="4:4">
      <c r="D3067" s="7"/>
    </row>
    <row r="3068" spans="4:4">
      <c r="D3068" s="7"/>
    </row>
    <row r="3069" spans="4:4">
      <c r="D3069" s="7"/>
    </row>
    <row r="3070" spans="4:4">
      <c r="D3070" s="7"/>
    </row>
    <row r="3071" spans="4:4">
      <c r="D3071" s="7"/>
    </row>
    <row r="3072" spans="4:4">
      <c r="D3072" s="7"/>
    </row>
    <row r="3073" spans="4:4">
      <c r="D3073" s="7"/>
    </row>
  </sheetData>
  <mergeCells count="3">
    <mergeCell ref="A1:T1"/>
    <mergeCell ref="D21:F21"/>
    <mergeCell ref="H21:L21"/>
  </mergeCells>
  <hyperlinks>
    <hyperlink ref="A22" r:id="rId1"/>
  </hyperlinks>
  <pageMargins left="0" right="0" top="0.74803149606299213" bottom="0.74803149606299213" header="0.31496062992125984" footer="0.31496062992125984"/>
  <pageSetup paperSize="8" orientation="landscape" horizontalDpi="200" verticalDpi="200"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E19" sqref="E19"/>
    </sheetView>
  </sheetViews>
  <sheetFormatPr defaultRowHeight="14.4"/>
  <cols>
    <col min="1" max="1" width="3" bestFit="1" customWidth="1"/>
    <col min="2" max="2" width="66.5546875" customWidth="1"/>
    <col min="3" max="3" width="28.33203125" customWidth="1"/>
    <col min="10" max="10" width="11.6640625" bestFit="1" customWidth="1"/>
    <col min="12" max="12" width="10.109375" bestFit="1" customWidth="1"/>
    <col min="15" max="15" width="6.21875" customWidth="1"/>
  </cols>
  <sheetData>
    <row r="1" spans="1:23" ht="14.4" customHeight="1">
      <c r="A1" s="953" t="s">
        <v>677</v>
      </c>
      <c r="B1" s="954"/>
      <c r="C1" s="954"/>
      <c r="D1" s="954"/>
      <c r="E1" s="954"/>
      <c r="F1" s="954"/>
      <c r="G1" s="954"/>
      <c r="H1" s="954"/>
      <c r="I1" s="954"/>
      <c r="J1" s="954"/>
      <c r="K1" s="954"/>
      <c r="L1" s="954"/>
      <c r="M1" s="954"/>
      <c r="N1" s="954"/>
      <c r="O1" s="955"/>
    </row>
    <row r="2" spans="1:23">
      <c r="A2" s="956"/>
      <c r="B2" s="957"/>
      <c r="C2" s="957"/>
      <c r="D2" s="957"/>
      <c r="E2" s="957"/>
      <c r="F2" s="957"/>
      <c r="G2" s="957"/>
      <c r="H2" s="957"/>
      <c r="I2" s="957"/>
      <c r="J2" s="957"/>
      <c r="K2" s="957"/>
      <c r="L2" s="957"/>
      <c r="M2" s="957"/>
      <c r="N2" s="957"/>
      <c r="O2" s="958"/>
    </row>
    <row r="3" spans="1:23" ht="15" thickBot="1">
      <c r="A3" s="959"/>
      <c r="B3" s="960"/>
      <c r="C3" s="960"/>
      <c r="D3" s="960"/>
      <c r="E3" s="960"/>
      <c r="F3" s="960"/>
      <c r="G3" s="960"/>
      <c r="H3" s="960"/>
      <c r="I3" s="960"/>
      <c r="J3" s="960"/>
      <c r="K3" s="960"/>
      <c r="L3" s="960"/>
      <c r="M3" s="960"/>
      <c r="N3" s="960"/>
      <c r="O3" s="961"/>
      <c r="P3" s="8"/>
      <c r="Q3" s="8"/>
      <c r="R3" s="8"/>
      <c r="S3" s="8"/>
      <c r="T3" s="8"/>
      <c r="U3" s="8"/>
      <c r="V3" s="8"/>
      <c r="W3" s="8"/>
    </row>
    <row r="4" spans="1:23" ht="15" thickBot="1">
      <c r="A4" s="831" t="s">
        <v>672</v>
      </c>
      <c r="B4" s="972"/>
      <c r="C4" s="972"/>
      <c r="D4" s="972"/>
      <c r="E4" s="972"/>
      <c r="F4" s="972"/>
      <c r="G4" s="972"/>
      <c r="H4" s="972"/>
      <c r="I4" s="972"/>
      <c r="J4" s="972"/>
      <c r="K4" s="972"/>
      <c r="L4" s="972"/>
      <c r="M4" s="972"/>
      <c r="N4" s="972"/>
      <c r="O4" s="973"/>
      <c r="P4" s="832"/>
      <c r="Q4" s="832"/>
      <c r="R4" s="832"/>
      <c r="S4" s="832"/>
      <c r="T4" s="832"/>
      <c r="U4" s="832"/>
      <c r="V4" s="832"/>
      <c r="W4" s="8"/>
    </row>
    <row r="5" spans="1:23" ht="15" thickBot="1">
      <c r="A5" s="695"/>
      <c r="B5" s="695"/>
      <c r="C5" s="695"/>
      <c r="D5" s="695"/>
      <c r="E5" s="695"/>
      <c r="F5" s="695"/>
      <c r="G5" s="695"/>
      <c r="H5" s="695"/>
      <c r="I5" s="695"/>
      <c r="J5" s="695"/>
      <c r="K5" s="695"/>
      <c r="L5" s="695"/>
      <c r="M5" s="695"/>
      <c r="N5" s="695"/>
      <c r="O5" s="5"/>
      <c r="P5" s="8"/>
      <c r="Q5" s="8"/>
      <c r="R5" s="8"/>
      <c r="S5" s="8"/>
      <c r="T5" s="8"/>
      <c r="U5" s="8"/>
      <c r="V5" s="8"/>
      <c r="W5" s="8"/>
    </row>
    <row r="6" spans="1:23" ht="15" thickBot="1">
      <c r="A6" s="977" t="s">
        <v>769</v>
      </c>
      <c r="B6" s="978"/>
      <c r="C6" s="978"/>
      <c r="D6" s="978"/>
      <c r="E6" s="978"/>
      <c r="F6" s="978"/>
      <c r="G6" s="978"/>
      <c r="H6" s="978"/>
      <c r="I6" s="978"/>
      <c r="J6" s="978"/>
      <c r="K6" s="978"/>
      <c r="L6" s="978"/>
      <c r="M6" s="978"/>
      <c r="N6" s="978"/>
      <c r="O6" s="978"/>
      <c r="P6" s="8"/>
      <c r="Q6" s="8"/>
      <c r="R6" s="8"/>
      <c r="S6" s="8"/>
      <c r="T6" s="8"/>
      <c r="U6" s="8"/>
      <c r="V6" s="8"/>
      <c r="W6" s="8"/>
    </row>
    <row r="7" spans="1:23" ht="15" thickBot="1">
      <c r="A7" s="1160" t="s">
        <v>666</v>
      </c>
      <c r="B7" s="1161"/>
      <c r="C7" s="1162"/>
      <c r="D7" s="388"/>
      <c r="E7" s="388"/>
      <c r="F7" s="388" t="s">
        <v>607</v>
      </c>
      <c r="G7" s="388"/>
      <c r="H7" s="388"/>
      <c r="I7" s="7"/>
      <c r="J7" s="7"/>
      <c r="P7" s="8"/>
      <c r="Q7" s="8"/>
      <c r="R7" s="8"/>
      <c r="S7" s="8"/>
      <c r="T7" s="8"/>
      <c r="U7" s="8"/>
      <c r="V7" s="8"/>
      <c r="W7" s="8"/>
    </row>
    <row r="8" spans="1:23">
      <c r="A8" s="579">
        <v>1</v>
      </c>
      <c r="B8" s="572" t="s">
        <v>506</v>
      </c>
      <c r="C8" s="584" t="s">
        <v>507</v>
      </c>
      <c r="D8" s="7"/>
      <c r="E8" s="7"/>
      <c r="F8" s="652" t="s">
        <v>613</v>
      </c>
      <c r="G8" s="7"/>
      <c r="H8" s="7"/>
      <c r="I8" s="7"/>
      <c r="J8" s="7"/>
      <c r="P8" s="8"/>
      <c r="Q8" s="8"/>
      <c r="R8" s="8"/>
      <c r="S8" s="8"/>
      <c r="T8" s="8"/>
      <c r="U8" s="8"/>
      <c r="V8" s="8"/>
      <c r="W8" s="8"/>
    </row>
    <row r="9" spans="1:23">
      <c r="A9" s="577">
        <v>2</v>
      </c>
      <c r="B9" s="572" t="s">
        <v>508</v>
      </c>
      <c r="C9" s="578" t="s">
        <v>509</v>
      </c>
      <c r="D9" s="7"/>
      <c r="E9" s="7"/>
      <c r="F9" s="653" t="s">
        <v>608</v>
      </c>
      <c r="G9" s="7"/>
      <c r="H9" s="7"/>
      <c r="I9" s="7"/>
      <c r="J9" s="7"/>
    </row>
    <row r="10" spans="1:23">
      <c r="A10" s="579">
        <v>3</v>
      </c>
      <c r="B10" s="572" t="s">
        <v>510</v>
      </c>
      <c r="C10" s="578" t="s">
        <v>509</v>
      </c>
      <c r="D10" s="7"/>
      <c r="E10" s="7"/>
      <c r="F10" s="568" t="s">
        <v>609</v>
      </c>
      <c r="G10" s="654"/>
      <c r="H10" s="654"/>
      <c r="I10" s="654"/>
      <c r="J10" s="654"/>
      <c r="K10" s="655"/>
      <c r="L10" s="655"/>
      <c r="M10" s="655"/>
    </row>
    <row r="11" spans="1:23">
      <c r="A11" s="577">
        <v>4</v>
      </c>
      <c r="B11" s="572" t="s">
        <v>511</v>
      </c>
      <c r="C11" s="578" t="s">
        <v>507</v>
      </c>
      <c r="F11" s="656" t="s">
        <v>611</v>
      </c>
      <c r="G11" s="655"/>
      <c r="H11" s="655"/>
      <c r="I11" s="655"/>
      <c r="J11" s="655"/>
      <c r="K11" s="655"/>
      <c r="L11" s="655"/>
      <c r="M11" s="655"/>
    </row>
    <row r="12" spans="1:23">
      <c r="A12" s="579">
        <v>5</v>
      </c>
      <c r="B12" s="572" t="s">
        <v>512</v>
      </c>
      <c r="C12" s="578" t="s">
        <v>509</v>
      </c>
      <c r="F12" s="656" t="s">
        <v>612</v>
      </c>
      <c r="G12" s="656"/>
      <c r="H12" s="656"/>
      <c r="I12" s="656"/>
      <c r="J12" s="656"/>
      <c r="K12" s="656"/>
      <c r="L12" s="656"/>
      <c r="M12" s="656"/>
    </row>
    <row r="13" spans="1:23">
      <c r="A13" s="577">
        <v>6</v>
      </c>
      <c r="B13" s="572" t="s">
        <v>513</v>
      </c>
      <c r="C13" s="578" t="s">
        <v>507</v>
      </c>
      <c r="F13" t="s">
        <v>610</v>
      </c>
      <c r="G13" s="656"/>
      <c r="H13" s="656"/>
      <c r="I13" s="656"/>
      <c r="J13" s="656"/>
      <c r="K13" s="656"/>
      <c r="L13" s="656"/>
      <c r="M13" s="656"/>
    </row>
    <row r="14" spans="1:23" ht="13.2" customHeight="1">
      <c r="A14" s="579">
        <v>7</v>
      </c>
      <c r="B14" s="572" t="s">
        <v>514</v>
      </c>
      <c r="C14" s="578" t="s">
        <v>515</v>
      </c>
      <c r="F14" s="657" t="s">
        <v>625</v>
      </c>
    </row>
    <row r="15" spans="1:23">
      <c r="A15" s="577">
        <v>8</v>
      </c>
      <c r="B15" s="573" t="s">
        <v>516</v>
      </c>
      <c r="C15" s="580" t="s">
        <v>509</v>
      </c>
      <c r="F15" t="s">
        <v>614</v>
      </c>
    </row>
    <row r="16" spans="1:23">
      <c r="A16" s="579">
        <v>9</v>
      </c>
      <c r="B16" s="572" t="s">
        <v>517</v>
      </c>
      <c r="C16" s="578" t="s">
        <v>515</v>
      </c>
      <c r="F16" t="s">
        <v>615</v>
      </c>
    </row>
    <row r="17" spans="1:12">
      <c r="A17" s="577">
        <v>10</v>
      </c>
      <c r="B17" s="572" t="s">
        <v>518</v>
      </c>
      <c r="C17" s="578" t="s">
        <v>515</v>
      </c>
      <c r="F17" t="s">
        <v>618</v>
      </c>
    </row>
    <row r="18" spans="1:12">
      <c r="A18" s="579">
        <v>11</v>
      </c>
      <c r="B18" s="572" t="s">
        <v>519</v>
      </c>
      <c r="C18" s="578" t="s">
        <v>515</v>
      </c>
      <c r="F18" s="568" t="s">
        <v>619</v>
      </c>
      <c r="G18" s="568"/>
      <c r="H18" s="568"/>
      <c r="I18" s="568"/>
      <c r="J18" s="568"/>
      <c r="K18" s="568"/>
      <c r="L18" s="568"/>
    </row>
    <row r="19" spans="1:12" ht="14.4" customHeight="1">
      <c r="A19" s="577">
        <v>12</v>
      </c>
      <c r="B19" s="572" t="s">
        <v>520</v>
      </c>
      <c r="C19" s="578" t="s">
        <v>515</v>
      </c>
      <c r="F19" s="568" t="s">
        <v>623</v>
      </c>
    </row>
    <row r="20" spans="1:12">
      <c r="A20" s="579">
        <v>13</v>
      </c>
      <c r="B20" s="572" t="s">
        <v>521</v>
      </c>
      <c r="C20" s="578" t="s">
        <v>507</v>
      </c>
    </row>
    <row r="21" spans="1:12">
      <c r="A21" s="577">
        <v>14</v>
      </c>
      <c r="B21" s="572" t="s">
        <v>522</v>
      </c>
      <c r="C21" s="578" t="s">
        <v>515</v>
      </c>
      <c r="F21" s="568" t="s">
        <v>616</v>
      </c>
    </row>
    <row r="22" spans="1:12">
      <c r="A22" s="579">
        <v>15</v>
      </c>
      <c r="B22" s="572" t="s">
        <v>523</v>
      </c>
      <c r="C22" s="578" t="s">
        <v>507</v>
      </c>
      <c r="F22" t="s">
        <v>626</v>
      </c>
    </row>
    <row r="23" spans="1:12" ht="15" thickBot="1">
      <c r="A23" s="581">
        <v>16</v>
      </c>
      <c r="B23" s="582" t="s">
        <v>524</v>
      </c>
      <c r="C23" s="583" t="s">
        <v>507</v>
      </c>
      <c r="F23" t="s">
        <v>617</v>
      </c>
    </row>
    <row r="24" spans="1:12" ht="6.6" customHeight="1" thickBot="1"/>
    <row r="25" spans="1:12">
      <c r="A25" s="574">
        <v>1</v>
      </c>
      <c r="B25" s="575" t="s">
        <v>506</v>
      </c>
      <c r="C25" s="576"/>
      <c r="F25" t="s">
        <v>620</v>
      </c>
    </row>
    <row r="26" spans="1:12">
      <c r="A26" s="577">
        <v>2</v>
      </c>
      <c r="B26" s="572" t="s">
        <v>508</v>
      </c>
      <c r="C26" s="578"/>
      <c r="F26" s="568" t="s">
        <v>621</v>
      </c>
      <c r="G26" s="568"/>
      <c r="H26" s="568"/>
      <c r="I26" s="568"/>
      <c r="J26" s="568"/>
      <c r="K26" s="568"/>
      <c r="L26" s="568"/>
    </row>
    <row r="27" spans="1:12">
      <c r="A27" s="579">
        <v>3</v>
      </c>
      <c r="B27" s="572" t="s">
        <v>510</v>
      </c>
      <c r="C27" s="578"/>
      <c r="F27" s="659" t="s">
        <v>622</v>
      </c>
      <c r="G27" s="568"/>
      <c r="H27" s="568"/>
      <c r="I27" s="568"/>
      <c r="J27" s="658">
        <f>(400000-82500)*0.13</f>
        <v>41275</v>
      </c>
    </row>
    <row r="28" spans="1:12">
      <c r="A28" s="577">
        <v>4</v>
      </c>
      <c r="B28" s="572" t="s">
        <v>511</v>
      </c>
      <c r="C28" s="578"/>
      <c r="F28" s="568" t="s">
        <v>624</v>
      </c>
    </row>
    <row r="29" spans="1:12">
      <c r="A29" s="579">
        <v>5</v>
      </c>
      <c r="B29" s="572" t="s">
        <v>512</v>
      </c>
      <c r="C29" s="578"/>
      <c r="L29" s="493"/>
    </row>
    <row r="30" spans="1:12">
      <c r="A30" s="577">
        <v>6</v>
      </c>
      <c r="B30" s="572" t="s">
        <v>513</v>
      </c>
      <c r="C30" s="578"/>
      <c r="L30" s="493"/>
    </row>
    <row r="31" spans="1:12" ht="27.6">
      <c r="A31" s="579">
        <v>7</v>
      </c>
      <c r="B31" s="572" t="s">
        <v>514</v>
      </c>
      <c r="C31" s="578"/>
    </row>
    <row r="32" spans="1:12">
      <c r="A32" s="577">
        <v>8</v>
      </c>
      <c r="B32" s="573" t="s">
        <v>516</v>
      </c>
      <c r="C32" s="580"/>
    </row>
    <row r="33" spans="1:3">
      <c r="A33" s="579">
        <v>9</v>
      </c>
      <c r="B33" s="572" t="s">
        <v>517</v>
      </c>
      <c r="C33" s="578"/>
    </row>
    <row r="34" spans="1:3">
      <c r="A34" s="577">
        <v>10</v>
      </c>
      <c r="B34" s="572" t="s">
        <v>518</v>
      </c>
      <c r="C34" s="578"/>
    </row>
    <row r="35" spans="1:3">
      <c r="A35" s="579">
        <v>11</v>
      </c>
      <c r="B35" s="572" t="s">
        <v>519</v>
      </c>
      <c r="C35" s="578"/>
    </row>
    <row r="36" spans="1:3" ht="27.6">
      <c r="A36" s="577">
        <v>12</v>
      </c>
      <c r="B36" s="572" t="s">
        <v>520</v>
      </c>
      <c r="C36" s="578"/>
    </row>
    <row r="37" spans="1:3">
      <c r="A37" s="579">
        <v>13</v>
      </c>
      <c r="B37" s="572" t="s">
        <v>521</v>
      </c>
      <c r="C37" s="578"/>
    </row>
    <row r="38" spans="1:3">
      <c r="A38" s="577">
        <v>14</v>
      </c>
      <c r="B38" s="572" t="s">
        <v>522</v>
      </c>
      <c r="C38" s="578"/>
    </row>
    <row r="39" spans="1:3">
      <c r="A39" s="579">
        <v>15</v>
      </c>
      <c r="B39" s="572" t="s">
        <v>523</v>
      </c>
      <c r="C39" s="578"/>
    </row>
    <row r="40" spans="1:3" ht="15" thickBot="1">
      <c r="A40" s="581">
        <v>16</v>
      </c>
      <c r="B40" s="582" t="s">
        <v>524</v>
      </c>
      <c r="C40" s="583"/>
    </row>
  </sheetData>
  <mergeCells count="4">
    <mergeCell ref="A7:C7"/>
    <mergeCell ref="A6:O6"/>
    <mergeCell ref="A1:O3"/>
    <mergeCell ref="B4:O4"/>
  </mergeCells>
  <pageMargins left="0.7" right="0.7" top="0.75" bottom="0.75" header="0.3" footer="0.3"/>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topLeftCell="A40" workbookViewId="0">
      <selection activeCell="A23" sqref="A23:K23"/>
    </sheetView>
  </sheetViews>
  <sheetFormatPr defaultRowHeight="14.4"/>
  <cols>
    <col min="10" max="10" width="9.5546875" customWidth="1"/>
    <col min="11" max="11" width="21.109375" customWidth="1"/>
  </cols>
  <sheetData>
    <row r="1" spans="1:22" ht="14.4" customHeight="1">
      <c r="A1" s="953" t="s">
        <v>677</v>
      </c>
      <c r="B1" s="954"/>
      <c r="C1" s="954"/>
      <c r="D1" s="954"/>
      <c r="E1" s="954"/>
      <c r="F1" s="954"/>
      <c r="G1" s="954"/>
      <c r="H1" s="954"/>
      <c r="I1" s="954"/>
      <c r="J1" s="954"/>
      <c r="K1" s="954"/>
      <c r="L1" s="954"/>
      <c r="M1" s="954"/>
      <c r="N1" s="954"/>
      <c r="O1" s="954"/>
      <c r="P1" s="954"/>
      <c r="Q1" s="954"/>
      <c r="R1" s="954"/>
      <c r="S1" s="954"/>
      <c r="T1" s="955"/>
    </row>
    <row r="2" spans="1:22">
      <c r="A2" s="956"/>
      <c r="B2" s="957"/>
      <c r="C2" s="957"/>
      <c r="D2" s="957"/>
      <c r="E2" s="957"/>
      <c r="F2" s="957"/>
      <c r="G2" s="957"/>
      <c r="H2" s="957"/>
      <c r="I2" s="957"/>
      <c r="J2" s="957"/>
      <c r="K2" s="957"/>
      <c r="L2" s="957"/>
      <c r="M2" s="957"/>
      <c r="N2" s="957"/>
      <c r="O2" s="957"/>
      <c r="P2" s="957"/>
      <c r="Q2" s="957"/>
      <c r="R2" s="957"/>
      <c r="S2" s="957"/>
      <c r="T2" s="958"/>
    </row>
    <row r="3" spans="1:22" ht="15" thickBot="1">
      <c r="A3" s="959"/>
      <c r="B3" s="960"/>
      <c r="C3" s="960"/>
      <c r="D3" s="960"/>
      <c r="E3" s="960"/>
      <c r="F3" s="960"/>
      <c r="G3" s="960"/>
      <c r="H3" s="960"/>
      <c r="I3" s="960"/>
      <c r="J3" s="960"/>
      <c r="K3" s="960"/>
      <c r="L3" s="960"/>
      <c r="M3" s="960"/>
      <c r="N3" s="960"/>
      <c r="O3" s="960"/>
      <c r="P3" s="960"/>
      <c r="Q3" s="960"/>
      <c r="R3" s="960"/>
      <c r="S3" s="960"/>
      <c r="T3" s="961"/>
    </row>
    <row r="4" spans="1:22" ht="15" thickBot="1">
      <c r="A4" s="1163" t="s">
        <v>673</v>
      </c>
      <c r="B4" s="1164"/>
      <c r="C4" s="1164"/>
      <c r="D4" s="1164"/>
      <c r="E4" s="1164"/>
      <c r="F4" s="1164"/>
      <c r="G4" s="1164"/>
      <c r="H4" s="1164"/>
      <c r="I4" s="1164"/>
      <c r="J4" s="1164"/>
      <c r="K4" s="1164"/>
      <c r="L4" s="1164"/>
      <c r="M4" s="1164"/>
      <c r="N4" s="1164"/>
      <c r="O4" s="1164"/>
      <c r="P4" s="1164"/>
      <c r="Q4" s="1164"/>
      <c r="R4" s="1164"/>
      <c r="S4" s="1164"/>
      <c r="T4" s="1165"/>
    </row>
    <row r="5" spans="1:22" ht="15" thickBot="1">
      <c r="A5" s="1033" t="s">
        <v>631</v>
      </c>
      <c r="B5" s="1034"/>
      <c r="C5" s="1034"/>
      <c r="D5" s="1034"/>
      <c r="E5" s="1034"/>
      <c r="F5" s="1034"/>
      <c r="G5" s="1034"/>
      <c r="H5" s="1034"/>
      <c r="I5" s="1034"/>
      <c r="J5" s="1034"/>
      <c r="K5" s="1034"/>
      <c r="L5" s="1034"/>
      <c r="M5" s="1034"/>
      <c r="N5" s="1034"/>
      <c r="O5" s="1034"/>
      <c r="P5" s="1034"/>
      <c r="Q5" s="1034"/>
      <c r="R5" s="1034"/>
      <c r="S5" s="1034"/>
      <c r="T5" s="1035"/>
      <c r="U5" s="696"/>
      <c r="V5" s="696"/>
    </row>
    <row r="7" spans="1:22" ht="15" thickBot="1"/>
    <row r="8" spans="1:22" ht="15" thickBot="1">
      <c r="A8" s="996" t="s">
        <v>795</v>
      </c>
      <c r="B8" s="997"/>
      <c r="C8" s="997"/>
      <c r="D8" s="997"/>
      <c r="E8" s="997"/>
      <c r="F8" s="997"/>
      <c r="G8" s="997"/>
      <c r="H8" s="997"/>
      <c r="I8" s="997"/>
      <c r="J8" s="997"/>
      <c r="K8" s="998"/>
    </row>
    <row r="9" spans="1:22" ht="14.4" customHeight="1">
      <c r="A9" s="838" t="s">
        <v>502</v>
      </c>
      <c r="B9" s="839"/>
      <c r="C9" s="839"/>
      <c r="D9" s="839"/>
      <c r="E9" s="839"/>
      <c r="F9" s="839"/>
      <c r="G9" s="839"/>
      <c r="H9" s="839"/>
      <c r="I9" s="839"/>
      <c r="J9" s="839"/>
      <c r="K9" s="840"/>
    </row>
    <row r="10" spans="1:22" ht="14.4" customHeight="1">
      <c r="A10" s="938"/>
      <c r="B10" s="939"/>
      <c r="C10" s="939"/>
      <c r="D10" s="939"/>
      <c r="E10" s="939"/>
      <c r="F10" s="939"/>
      <c r="G10" s="939"/>
      <c r="H10" s="939"/>
      <c r="I10" s="939"/>
      <c r="J10" s="939"/>
      <c r="K10" s="940"/>
    </row>
    <row r="11" spans="1:22" ht="14.4" customHeight="1">
      <c r="A11" s="938"/>
      <c r="B11" s="939"/>
      <c r="C11" s="939"/>
      <c r="D11" s="939"/>
      <c r="E11" s="939"/>
      <c r="F11" s="939"/>
      <c r="G11" s="939"/>
      <c r="H11" s="939"/>
      <c r="I11" s="939"/>
      <c r="J11" s="939"/>
      <c r="K11" s="940"/>
    </row>
    <row r="12" spans="1:22" ht="14.4" customHeight="1">
      <c r="A12" s="938"/>
      <c r="B12" s="939"/>
      <c r="C12" s="939"/>
      <c r="D12" s="939"/>
      <c r="E12" s="939"/>
      <c r="F12" s="939"/>
      <c r="G12" s="939"/>
      <c r="H12" s="939"/>
      <c r="I12" s="939"/>
      <c r="J12" s="939"/>
      <c r="K12" s="940"/>
    </row>
    <row r="13" spans="1:22" ht="14.4" customHeight="1" thickBot="1">
      <c r="A13" s="941"/>
      <c r="B13" s="942"/>
      <c r="C13" s="942"/>
      <c r="D13" s="942"/>
      <c r="E13" s="942"/>
      <c r="F13" s="942"/>
      <c r="G13" s="942"/>
      <c r="H13" s="942"/>
      <c r="I13" s="942"/>
      <c r="J13" s="942"/>
      <c r="K13" s="943"/>
    </row>
    <row r="14" spans="1:22" ht="14.4" customHeight="1" thickBot="1">
      <c r="A14" s="489" t="s">
        <v>5</v>
      </c>
      <c r="B14" s="490"/>
      <c r="C14" s="490"/>
      <c r="D14" s="490"/>
      <c r="E14" s="490"/>
      <c r="F14" s="490"/>
      <c r="G14" s="490"/>
      <c r="H14" s="490"/>
      <c r="I14" s="490"/>
      <c r="J14" s="490"/>
      <c r="K14" s="491"/>
    </row>
    <row r="15" spans="1:22" ht="14.4" customHeight="1">
      <c r="A15" s="184" t="s">
        <v>171</v>
      </c>
      <c r="B15" s="185"/>
      <c r="C15" s="188"/>
      <c r="D15" s="189"/>
      <c r="E15" s="185"/>
      <c r="F15" s="190"/>
      <c r="G15" s="191"/>
      <c r="H15" s="190"/>
      <c r="I15" s="11"/>
      <c r="J15" s="11"/>
      <c r="K15" s="192">
        <f>20%-(7.5%+5%)</f>
        <v>7.5000000000000011E-2</v>
      </c>
    </row>
    <row r="16" spans="1:22" ht="15" customHeight="1">
      <c r="A16" s="147"/>
      <c r="B16" s="148"/>
      <c r="C16" s="140"/>
      <c r="D16" s="140"/>
      <c r="E16" s="140"/>
      <c r="F16" s="140"/>
      <c r="G16" s="140"/>
      <c r="H16" s="140"/>
      <c r="I16" s="5"/>
      <c r="J16" s="5"/>
      <c r="K16" s="143"/>
    </row>
    <row r="17" spans="1:11">
      <c r="A17" s="162" t="s">
        <v>172</v>
      </c>
      <c r="B17" s="163"/>
      <c r="C17" s="164"/>
      <c r="D17" s="165"/>
      <c r="E17" s="163"/>
      <c r="F17" s="186"/>
      <c r="G17" s="140"/>
      <c r="H17" s="186"/>
      <c r="I17" s="5"/>
      <c r="J17" s="5"/>
      <c r="K17" s="193">
        <f>K15*35%</f>
        <v>2.6250000000000002E-2</v>
      </c>
    </row>
    <row r="18" spans="1:11">
      <c r="A18" s="147"/>
      <c r="B18" s="140"/>
      <c r="C18" s="164"/>
      <c r="D18" s="165"/>
      <c r="E18" s="140"/>
      <c r="F18" s="140"/>
      <c r="G18" s="140"/>
      <c r="H18" s="369"/>
      <c r="I18" s="5"/>
      <c r="J18" s="5"/>
      <c r="K18" s="166"/>
    </row>
    <row r="19" spans="1:11">
      <c r="A19" s="147" t="s">
        <v>173</v>
      </c>
      <c r="B19" s="140"/>
      <c r="C19" s="164"/>
      <c r="D19" s="167"/>
      <c r="E19" s="148"/>
      <c r="F19" s="187"/>
      <c r="G19" s="148"/>
      <c r="H19" s="187"/>
      <c r="I19" s="5"/>
      <c r="J19" s="5"/>
      <c r="K19" s="194">
        <f>20%-K17</f>
        <v>0.17375000000000002</v>
      </c>
    </row>
    <row r="20" spans="1:11">
      <c r="A20" s="168"/>
      <c r="B20" s="169"/>
      <c r="C20" s="170"/>
      <c r="D20" s="171"/>
      <c r="E20" s="140"/>
      <c r="F20" s="140"/>
      <c r="G20" s="140"/>
      <c r="H20" s="140"/>
      <c r="I20" s="5"/>
      <c r="J20" s="5"/>
      <c r="K20" s="143"/>
    </row>
    <row r="21" spans="1:11" ht="15" thickBot="1">
      <c r="A21" s="155" t="s">
        <v>283</v>
      </c>
      <c r="B21" s="195"/>
      <c r="C21" s="196"/>
      <c r="D21" s="197"/>
      <c r="E21" s="195"/>
      <c r="F21" s="195"/>
      <c r="G21" s="195"/>
      <c r="H21" s="313"/>
      <c r="I21" s="14"/>
      <c r="J21" s="14"/>
      <c r="K21" s="198">
        <f>K19-6%</f>
        <v>0.11375000000000002</v>
      </c>
    </row>
    <row r="22" spans="1:11" ht="15" thickBot="1"/>
    <row r="23" spans="1:11" ht="30" customHeight="1" thickBot="1">
      <c r="A23" s="885" t="s">
        <v>796</v>
      </c>
      <c r="B23" s="1166"/>
      <c r="C23" s="1166"/>
      <c r="D23" s="1166"/>
      <c r="E23" s="1166"/>
      <c r="F23" s="1166"/>
      <c r="G23" s="1166"/>
      <c r="H23" s="1166"/>
      <c r="I23" s="1166"/>
      <c r="J23" s="1166"/>
      <c r="K23" s="1167"/>
    </row>
    <row r="24" spans="1:11" ht="14.4" customHeight="1">
      <c r="A24" s="1084" t="s">
        <v>770</v>
      </c>
      <c r="B24" s="1085"/>
      <c r="C24" s="1085"/>
      <c r="D24" s="1085"/>
      <c r="E24" s="1085"/>
      <c r="F24" s="1085"/>
      <c r="G24" s="1085"/>
      <c r="H24" s="1085"/>
      <c r="I24" s="1085"/>
      <c r="J24" s="1085"/>
      <c r="K24" s="1086"/>
    </row>
    <row r="25" spans="1:11">
      <c r="A25" s="1087"/>
      <c r="B25" s="1088"/>
      <c r="C25" s="1088"/>
      <c r="D25" s="1088"/>
      <c r="E25" s="1088"/>
      <c r="F25" s="1088"/>
      <c r="G25" s="1088"/>
      <c r="H25" s="1088"/>
      <c r="I25" s="1088"/>
      <c r="J25" s="1088"/>
      <c r="K25" s="1089"/>
    </row>
    <row r="26" spans="1:11">
      <c r="A26" s="1087"/>
      <c r="B26" s="1088"/>
      <c r="C26" s="1088"/>
      <c r="D26" s="1088"/>
      <c r="E26" s="1088"/>
      <c r="F26" s="1088"/>
      <c r="G26" s="1088"/>
      <c r="H26" s="1088"/>
      <c r="I26" s="1088"/>
      <c r="J26" s="1088"/>
      <c r="K26" s="1089"/>
    </row>
    <row r="27" spans="1:11">
      <c r="A27" s="1087"/>
      <c r="B27" s="1088"/>
      <c r="C27" s="1088"/>
      <c r="D27" s="1088"/>
      <c r="E27" s="1088"/>
      <c r="F27" s="1088"/>
      <c r="G27" s="1088"/>
      <c r="H27" s="1088"/>
      <c r="I27" s="1088"/>
      <c r="J27" s="1088"/>
      <c r="K27" s="1089"/>
    </row>
    <row r="28" spans="1:11">
      <c r="A28" s="1087"/>
      <c r="B28" s="1088"/>
      <c r="C28" s="1088"/>
      <c r="D28" s="1088"/>
      <c r="E28" s="1088"/>
      <c r="F28" s="1088"/>
      <c r="G28" s="1088"/>
      <c r="H28" s="1088"/>
      <c r="I28" s="1088"/>
      <c r="J28" s="1088"/>
      <c r="K28" s="1089"/>
    </row>
    <row r="29" spans="1:11">
      <c r="A29" s="1087"/>
      <c r="B29" s="1088"/>
      <c r="C29" s="1088"/>
      <c r="D29" s="1088"/>
      <c r="E29" s="1088"/>
      <c r="F29" s="1088"/>
      <c r="G29" s="1088"/>
      <c r="H29" s="1088"/>
      <c r="I29" s="1088"/>
      <c r="J29" s="1088"/>
      <c r="K29" s="1089"/>
    </row>
    <row r="30" spans="1:11">
      <c r="A30" s="1087"/>
      <c r="B30" s="1088"/>
      <c r="C30" s="1088"/>
      <c r="D30" s="1088"/>
      <c r="E30" s="1088"/>
      <c r="F30" s="1088"/>
      <c r="G30" s="1088"/>
      <c r="H30" s="1088"/>
      <c r="I30" s="1088"/>
      <c r="J30" s="1088"/>
      <c r="K30" s="1089"/>
    </row>
    <row r="31" spans="1:11">
      <c r="A31" s="1087"/>
      <c r="B31" s="1088"/>
      <c r="C31" s="1088"/>
      <c r="D31" s="1088"/>
      <c r="E31" s="1088"/>
      <c r="F31" s="1088"/>
      <c r="G31" s="1088"/>
      <c r="H31" s="1088"/>
      <c r="I31" s="1088"/>
      <c r="J31" s="1088"/>
      <c r="K31" s="1089"/>
    </row>
    <row r="32" spans="1:11">
      <c r="A32" s="1087"/>
      <c r="B32" s="1088"/>
      <c r="C32" s="1088"/>
      <c r="D32" s="1088"/>
      <c r="E32" s="1088"/>
      <c r="F32" s="1088"/>
      <c r="G32" s="1088"/>
      <c r="H32" s="1088"/>
      <c r="I32" s="1088"/>
      <c r="J32" s="1088"/>
      <c r="K32" s="1089"/>
    </row>
    <row r="33" spans="1:11" ht="15" thickBot="1">
      <c r="A33" s="1090"/>
      <c r="B33" s="1091"/>
      <c r="C33" s="1091"/>
      <c r="D33" s="1091"/>
      <c r="E33" s="1091"/>
      <c r="F33" s="1091"/>
      <c r="G33" s="1091"/>
      <c r="H33" s="1091"/>
      <c r="I33" s="1091"/>
      <c r="J33" s="1091"/>
      <c r="K33" s="1092"/>
    </row>
    <row r="34" spans="1:11" ht="15" thickBot="1">
      <c r="A34" s="234" t="s">
        <v>5</v>
      </c>
      <c r="B34" s="374"/>
      <c r="C34" s="374"/>
      <c r="D34" s="374"/>
      <c r="E34" s="374"/>
      <c r="F34" s="374"/>
      <c r="G34" s="132"/>
      <c r="H34" s="132"/>
      <c r="I34" s="132"/>
      <c r="J34" s="132"/>
      <c r="K34" s="65"/>
    </row>
    <row r="35" spans="1:11">
      <c r="A35" s="375" t="s">
        <v>308</v>
      </c>
      <c r="B35" s="376"/>
      <c r="C35" s="376"/>
      <c r="D35" s="376"/>
      <c r="E35" s="376"/>
      <c r="F35" s="376"/>
      <c r="G35" s="175"/>
      <c r="H35" s="175"/>
      <c r="I35" s="175"/>
      <c r="J35" s="175"/>
      <c r="K35" s="12"/>
    </row>
    <row r="36" spans="1:11">
      <c r="A36" s="152" t="s">
        <v>331</v>
      </c>
      <c r="B36" s="140"/>
      <c r="C36" s="140"/>
      <c r="D36" s="140"/>
      <c r="E36" s="140"/>
      <c r="F36" s="140"/>
      <c r="G36" s="140"/>
      <c r="H36" s="140"/>
      <c r="I36" s="140"/>
      <c r="J36" s="140"/>
      <c r="K36" s="13"/>
    </row>
    <row r="37" spans="1:11">
      <c r="A37" s="152" t="s">
        <v>310</v>
      </c>
      <c r="B37" s="140"/>
      <c r="C37" s="140"/>
      <c r="D37" s="140"/>
      <c r="E37" s="140"/>
      <c r="F37" s="140"/>
      <c r="G37" s="140"/>
      <c r="H37" s="140"/>
      <c r="I37" s="140"/>
      <c r="J37" s="258"/>
      <c r="K37" s="278">
        <f>188.4*(0.01%+0.041%)+188.4</f>
        <v>188.496084</v>
      </c>
    </row>
    <row r="38" spans="1:11">
      <c r="A38" s="152" t="s">
        <v>320</v>
      </c>
      <c r="B38" s="140"/>
      <c r="C38" s="140"/>
      <c r="D38" s="140"/>
      <c r="E38" s="140"/>
      <c r="F38" s="140"/>
      <c r="G38" s="140"/>
      <c r="H38" s="140"/>
      <c r="I38" s="140"/>
      <c r="J38" s="258"/>
      <c r="K38" s="278"/>
    </row>
    <row r="39" spans="1:11">
      <c r="A39" s="152" t="s">
        <v>311</v>
      </c>
      <c r="B39" s="140"/>
      <c r="C39" s="140"/>
      <c r="D39" s="140"/>
      <c r="E39" s="140"/>
      <c r="F39" s="140"/>
      <c r="G39" s="140"/>
      <c r="H39" s="140"/>
      <c r="I39" s="140"/>
      <c r="J39" s="570"/>
      <c r="K39" s="378">
        <f>ROUNDDOWN((100000-150)/K37,)</f>
        <v>529</v>
      </c>
    </row>
    <row r="40" spans="1:11">
      <c r="A40" s="152" t="s">
        <v>309</v>
      </c>
      <c r="B40" s="140"/>
      <c r="C40" s="140"/>
      <c r="D40" s="140"/>
      <c r="E40" s="140"/>
      <c r="F40" s="140"/>
      <c r="G40" s="140"/>
      <c r="H40" s="140"/>
      <c r="I40" s="140"/>
      <c r="J40" s="258"/>
      <c r="K40" s="278">
        <f>(100000-150)/(529*188.5)</f>
        <v>1.0013387954852004</v>
      </c>
    </row>
    <row r="41" spans="1:11">
      <c r="A41" s="168" t="s">
        <v>315</v>
      </c>
      <c r="B41" s="140"/>
      <c r="C41" s="140"/>
      <c r="D41" s="140"/>
      <c r="E41" s="140"/>
      <c r="F41" s="140"/>
      <c r="G41" s="140"/>
      <c r="H41" s="140"/>
      <c r="I41" s="140"/>
      <c r="J41" s="571"/>
      <c r="K41" s="377"/>
    </row>
    <row r="42" spans="1:11">
      <c r="A42" s="152" t="s">
        <v>314</v>
      </c>
      <c r="B42" s="140"/>
      <c r="C42" s="140"/>
      <c r="D42" s="140"/>
      <c r="E42" s="140"/>
      <c r="F42" s="140"/>
      <c r="G42" s="140"/>
      <c r="H42" s="140"/>
      <c r="I42" s="148" t="s">
        <v>325</v>
      </c>
      <c r="J42" s="177"/>
      <c r="K42" s="257">
        <f>12*0.87*K39</f>
        <v>5522.7599999999993</v>
      </c>
    </row>
    <row r="43" spans="1:11">
      <c r="A43" s="147" t="s">
        <v>503</v>
      </c>
      <c r="B43" s="148"/>
      <c r="C43" s="148"/>
      <c r="D43" s="148"/>
      <c r="E43" s="148"/>
      <c r="F43" s="148"/>
      <c r="G43" s="148"/>
      <c r="H43" s="148"/>
      <c r="I43" s="148"/>
      <c r="J43" s="177"/>
      <c r="K43" s="257"/>
    </row>
    <row r="44" spans="1:11">
      <c r="A44" s="147" t="s">
        <v>504</v>
      </c>
      <c r="B44" s="148"/>
      <c r="C44" s="148"/>
      <c r="D44" s="148"/>
      <c r="E44" s="148"/>
      <c r="F44" s="148"/>
      <c r="G44" s="148"/>
      <c r="H44" s="148"/>
      <c r="I44" s="148"/>
      <c r="J44" s="187"/>
      <c r="K44" s="194">
        <f>12/188.4</f>
        <v>6.3694267515923567E-2</v>
      </c>
    </row>
    <row r="45" spans="1:11">
      <c r="A45" s="379" t="s">
        <v>312</v>
      </c>
      <c r="B45" s="226"/>
      <c r="C45" s="226"/>
      <c r="D45" s="226"/>
      <c r="E45" s="226"/>
      <c r="F45" s="226"/>
      <c r="G45" s="140"/>
      <c r="H45" s="140"/>
      <c r="I45" s="140"/>
      <c r="J45" s="140"/>
      <c r="K45" s="143"/>
    </row>
    <row r="46" spans="1:11">
      <c r="A46" s="152" t="s">
        <v>332</v>
      </c>
      <c r="B46" s="140"/>
      <c r="C46" s="140"/>
      <c r="D46" s="140"/>
      <c r="E46" s="140"/>
      <c r="F46" s="140"/>
      <c r="G46" s="140"/>
      <c r="H46" s="140"/>
      <c r="I46" s="140"/>
      <c r="J46" s="140"/>
      <c r="K46" s="143"/>
    </row>
    <row r="47" spans="1:11">
      <c r="A47" s="152" t="s">
        <v>313</v>
      </c>
      <c r="B47" s="140"/>
      <c r="C47" s="140"/>
      <c r="D47" s="140"/>
      <c r="E47" s="140"/>
      <c r="F47" s="140"/>
      <c r="G47" s="140"/>
      <c r="H47" s="140"/>
      <c r="I47" s="140"/>
      <c r="J47" s="258"/>
      <c r="K47" s="278">
        <f>196.5-196.5*(0.01%+0.041%)</f>
        <v>196.39978500000001</v>
      </c>
    </row>
    <row r="48" spans="1:11">
      <c r="A48" s="152" t="s">
        <v>321</v>
      </c>
      <c r="B48" s="140"/>
      <c r="C48" s="140"/>
      <c r="D48" s="140"/>
      <c r="E48" s="140"/>
      <c r="F48" s="140"/>
      <c r="G48" s="140"/>
      <c r="H48" s="140"/>
      <c r="I48" s="140"/>
      <c r="J48" s="570"/>
      <c r="K48" s="378"/>
    </row>
    <row r="49" spans="1:11">
      <c r="A49" s="152" t="s">
        <v>322</v>
      </c>
      <c r="B49" s="140"/>
      <c r="C49" s="140"/>
      <c r="D49" s="140"/>
      <c r="E49" s="140"/>
      <c r="F49" s="140"/>
      <c r="G49" s="140"/>
      <c r="H49" s="140"/>
      <c r="I49" s="140"/>
      <c r="J49" s="570"/>
      <c r="K49" s="378"/>
    </row>
    <row r="50" spans="1:11">
      <c r="A50" s="152" t="s">
        <v>323</v>
      </c>
      <c r="B50" s="140"/>
      <c r="C50" s="140"/>
      <c r="D50" s="140"/>
      <c r="E50" s="140"/>
      <c r="F50" s="140"/>
      <c r="G50" s="140"/>
      <c r="H50" s="140"/>
      <c r="I50" s="140"/>
      <c r="J50" s="570"/>
      <c r="K50" s="378"/>
    </row>
    <row r="51" spans="1:11">
      <c r="A51" s="152" t="s">
        <v>329</v>
      </c>
      <c r="B51" s="140"/>
      <c r="C51" s="140"/>
      <c r="D51" s="140"/>
      <c r="E51" s="140"/>
      <c r="F51" s="140"/>
      <c r="G51" s="140"/>
      <c r="H51" s="140"/>
      <c r="I51" s="140"/>
      <c r="J51" s="258"/>
      <c r="K51" s="278"/>
    </row>
    <row r="52" spans="1:11">
      <c r="A52" s="152"/>
      <c r="B52" s="148"/>
      <c r="C52" s="148"/>
      <c r="D52" s="148"/>
      <c r="E52" s="148"/>
      <c r="F52" s="148"/>
      <c r="G52" s="148"/>
      <c r="H52" s="148"/>
      <c r="I52" s="150" t="s">
        <v>324</v>
      </c>
      <c r="J52" s="177"/>
      <c r="K52" s="257">
        <f>(K47*K39-150)-((K47-K37)*K39-150)*0.13+K40</f>
        <v>103222.45008602548</v>
      </c>
    </row>
    <row r="53" spans="1:11">
      <c r="A53" s="310" t="s">
        <v>326</v>
      </c>
      <c r="B53" s="140"/>
      <c r="C53" s="140"/>
      <c r="D53" s="140"/>
      <c r="E53" s="140"/>
      <c r="F53" s="140"/>
      <c r="G53" s="148" t="s">
        <v>327</v>
      </c>
      <c r="H53" s="148"/>
      <c r="I53" s="140"/>
      <c r="J53" s="177"/>
      <c r="K53" s="257">
        <f>K52+K42</f>
        <v>108745.21008602547</v>
      </c>
    </row>
    <row r="54" spans="1:11">
      <c r="A54" s="147" t="s">
        <v>330</v>
      </c>
      <c r="B54" s="148"/>
      <c r="C54" s="148"/>
      <c r="D54" s="148"/>
      <c r="E54" s="148"/>
      <c r="F54" s="148"/>
      <c r="G54" s="148"/>
      <c r="H54" s="148"/>
      <c r="I54" s="148"/>
      <c r="J54" s="177"/>
      <c r="K54" s="257">
        <f>K53-100000</f>
        <v>8745.2100860254723</v>
      </c>
    </row>
    <row r="55" spans="1:11" ht="15" thickBot="1">
      <c r="A55" s="155" t="s">
        <v>328</v>
      </c>
      <c r="B55" s="156"/>
      <c r="C55" s="156"/>
      <c r="D55" s="156"/>
      <c r="E55" s="156"/>
      <c r="F55" s="156"/>
      <c r="G55" s="156"/>
      <c r="H55" s="156"/>
      <c r="I55" s="156"/>
      <c r="J55" s="313"/>
      <c r="K55" s="198">
        <f>K54/100000</f>
        <v>8.745210086025472E-2</v>
      </c>
    </row>
  </sheetData>
  <mergeCells count="7">
    <mergeCell ref="A1:T3"/>
    <mergeCell ref="A4:T4"/>
    <mergeCell ref="A5:T5"/>
    <mergeCell ref="A9:K13"/>
    <mergeCell ref="A24:K33"/>
    <mergeCell ref="A23:K23"/>
    <mergeCell ref="A8: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7"/>
  <sheetViews>
    <sheetView workbookViewId="0">
      <selection activeCell="L28" sqref="L28"/>
    </sheetView>
  </sheetViews>
  <sheetFormatPr defaultRowHeight="14.4"/>
  <cols>
    <col min="1" max="1" width="12.5546875" style="5" customWidth="1"/>
    <col min="2" max="2" width="21.5546875" style="5" customWidth="1"/>
    <col min="3" max="3" width="14.21875" style="5" bestFit="1" customWidth="1"/>
    <col min="4" max="5" width="11.33203125" style="5" bestFit="1" customWidth="1"/>
    <col min="6" max="7" width="8.88671875" style="5"/>
    <col min="8" max="8" width="14.21875" style="5" bestFit="1" customWidth="1"/>
    <col min="9" max="9" width="8.88671875" style="5"/>
    <col min="10" max="10" width="14.21875" style="5" bestFit="1" customWidth="1"/>
    <col min="11" max="12" width="8.88671875" style="5"/>
    <col min="13" max="13" width="6.88671875" style="5" customWidth="1"/>
    <col min="14" max="14" width="1" style="5" customWidth="1"/>
    <col min="15" max="15" width="8.88671875" style="5"/>
    <col min="16" max="16" width="11.6640625" bestFit="1" customWidth="1"/>
    <col min="19" max="19" width="6.21875" customWidth="1"/>
    <col min="20" max="20" width="7" customWidth="1"/>
  </cols>
  <sheetData>
    <row r="1" spans="1:20" ht="14.4" customHeight="1">
      <c r="A1" s="953" t="s">
        <v>677</v>
      </c>
      <c r="B1" s="954"/>
      <c r="C1" s="954"/>
      <c r="D1" s="954"/>
      <c r="E1" s="954"/>
      <c r="F1" s="954"/>
      <c r="G1" s="954"/>
      <c r="H1" s="954"/>
      <c r="I1" s="954"/>
      <c r="J1" s="954"/>
      <c r="K1" s="954"/>
      <c r="L1" s="954"/>
      <c r="M1" s="954"/>
      <c r="N1" s="954"/>
      <c r="O1" s="954"/>
      <c r="P1" s="954"/>
      <c r="Q1" s="954"/>
      <c r="R1" s="954"/>
      <c r="S1" s="954"/>
      <c r="T1" s="955"/>
    </row>
    <row r="2" spans="1:20">
      <c r="A2" s="956"/>
      <c r="B2" s="957"/>
      <c r="C2" s="957"/>
      <c r="D2" s="957"/>
      <c r="E2" s="957"/>
      <c r="F2" s="957"/>
      <c r="G2" s="957"/>
      <c r="H2" s="957"/>
      <c r="I2" s="957"/>
      <c r="J2" s="957"/>
      <c r="K2" s="957"/>
      <c r="L2" s="957"/>
      <c r="M2" s="957"/>
      <c r="N2" s="957"/>
      <c r="O2" s="957"/>
      <c r="P2" s="957"/>
      <c r="Q2" s="957"/>
      <c r="R2" s="957"/>
      <c r="S2" s="957"/>
      <c r="T2" s="958"/>
    </row>
    <row r="3" spans="1:20" ht="15" thickBot="1">
      <c r="A3" s="959"/>
      <c r="B3" s="960"/>
      <c r="C3" s="960"/>
      <c r="D3" s="960"/>
      <c r="E3" s="960"/>
      <c r="F3" s="960"/>
      <c r="G3" s="960"/>
      <c r="H3" s="960"/>
      <c r="I3" s="960"/>
      <c r="J3" s="960"/>
      <c r="K3" s="960"/>
      <c r="L3" s="960"/>
      <c r="M3" s="960"/>
      <c r="N3" s="960"/>
      <c r="O3" s="960"/>
      <c r="P3" s="960"/>
      <c r="Q3" s="960"/>
      <c r="R3" s="960"/>
      <c r="S3" s="960"/>
      <c r="T3" s="961"/>
    </row>
    <row r="4" spans="1:20" ht="15" thickBot="1">
      <c r="A4" s="971" t="s">
        <v>675</v>
      </c>
      <c r="B4" s="972"/>
      <c r="C4" s="972"/>
      <c r="D4" s="972"/>
      <c r="E4" s="972"/>
      <c r="F4" s="972"/>
      <c r="G4" s="972"/>
      <c r="H4" s="972"/>
      <c r="I4" s="972"/>
      <c r="J4" s="972"/>
      <c r="K4" s="972"/>
      <c r="L4" s="972"/>
      <c r="M4" s="972"/>
      <c r="N4" s="972"/>
      <c r="O4" s="972"/>
      <c r="P4" s="972"/>
      <c r="Q4" s="972"/>
      <c r="R4" s="972"/>
      <c r="S4" s="972"/>
      <c r="T4" s="973"/>
    </row>
    <row r="5" spans="1:20" ht="15" thickBot="1">
      <c r="A5" s="1033" t="s">
        <v>665</v>
      </c>
      <c r="B5" s="1034"/>
      <c r="C5" s="1034"/>
      <c r="D5" s="1034"/>
      <c r="E5" s="1034"/>
      <c r="F5" s="1034"/>
      <c r="G5" s="1034"/>
      <c r="H5" s="1034"/>
      <c r="I5" s="1034"/>
      <c r="J5" s="1034"/>
      <c r="K5" s="1034"/>
      <c r="L5" s="1034"/>
      <c r="M5" s="1034"/>
      <c r="N5" s="1034"/>
      <c r="O5" s="1034"/>
      <c r="P5" s="1034"/>
      <c r="Q5" s="1034"/>
      <c r="R5" s="1034"/>
      <c r="S5" s="1034"/>
      <c r="T5" s="1035"/>
    </row>
    <row r="6" spans="1:20">
      <c r="C6" s="588"/>
      <c r="D6" s="586"/>
      <c r="E6" s="586"/>
    </row>
    <row r="7" spans="1:20" ht="18">
      <c r="A7" s="608" t="s">
        <v>772</v>
      </c>
      <c r="B7" s="608"/>
      <c r="C7" s="608"/>
      <c r="D7" s="608"/>
      <c r="E7" s="608"/>
      <c r="F7" s="608"/>
      <c r="G7" s="608"/>
      <c r="H7" s="608"/>
      <c r="I7" s="608"/>
      <c r="J7" s="608"/>
      <c r="K7" s="608"/>
      <c r="L7" s="608"/>
      <c r="M7" s="608"/>
      <c r="N7" s="608"/>
      <c r="O7" s="608"/>
      <c r="P7" s="608"/>
      <c r="Q7" s="608"/>
      <c r="R7" s="608"/>
    </row>
    <row r="8" spans="1:20" ht="15" thickBot="1">
      <c r="A8" s="589" t="s">
        <v>700</v>
      </c>
      <c r="B8" s="586"/>
      <c r="C8" s="588"/>
      <c r="D8" s="586"/>
      <c r="E8" s="586"/>
    </row>
    <row r="9" spans="1:20">
      <c r="A9" s="605" t="s">
        <v>525</v>
      </c>
      <c r="B9" s="605"/>
      <c r="C9" s="606">
        <v>23</v>
      </c>
      <c r="D9" s="586"/>
      <c r="E9" s="586"/>
      <c r="H9" s="646"/>
      <c r="O9" s="635" t="s">
        <v>597</v>
      </c>
      <c r="P9" s="636"/>
      <c r="Q9" s="636"/>
      <c r="R9" s="636"/>
      <c r="S9" s="636"/>
      <c r="T9" s="637"/>
    </row>
    <row r="10" spans="1:20">
      <c r="A10" s="605" t="s">
        <v>526</v>
      </c>
      <c r="B10" s="605"/>
      <c r="C10" s="606">
        <v>65</v>
      </c>
      <c r="D10" s="586"/>
      <c r="E10" s="586"/>
      <c r="O10" s="638" t="s">
        <v>65</v>
      </c>
      <c r="P10" s="639" t="s">
        <v>701</v>
      </c>
      <c r="Q10" s="639"/>
      <c r="R10" s="639"/>
      <c r="S10" s="639"/>
      <c r="T10" s="640"/>
    </row>
    <row r="11" spans="1:20">
      <c r="A11" s="605" t="s">
        <v>527</v>
      </c>
      <c r="B11" s="605"/>
      <c r="C11" s="587">
        <v>43475</v>
      </c>
      <c r="D11" s="607" t="s">
        <v>699</v>
      </c>
      <c r="E11" s="586"/>
      <c r="O11" s="638"/>
      <c r="P11" s="641">
        <f>20000*0.36</f>
        <v>7200</v>
      </c>
      <c r="Q11" s="639"/>
      <c r="R11" s="639"/>
      <c r="S11" s="639"/>
      <c r="T11" s="640"/>
    </row>
    <row r="12" spans="1:20">
      <c r="A12" s="605" t="s">
        <v>529</v>
      </c>
      <c r="B12" s="605"/>
      <c r="C12" s="587">
        <v>58816</v>
      </c>
      <c r="D12" s="586"/>
      <c r="E12" s="586"/>
      <c r="O12" s="638" t="s">
        <v>771</v>
      </c>
      <c r="P12" s="639"/>
      <c r="Q12" s="639"/>
      <c r="R12" s="639"/>
      <c r="S12" s="639"/>
      <c r="T12" s="640"/>
    </row>
    <row r="13" spans="1:20" ht="15" thickBot="1">
      <c r="A13" s="592" t="s">
        <v>528</v>
      </c>
      <c r="B13" s="593"/>
      <c r="C13" s="632">
        <v>2000</v>
      </c>
      <c r="D13" s="631" t="s">
        <v>534</v>
      </c>
      <c r="E13" s="586"/>
      <c r="J13" s="473">
        <f>12*100*C13/10</f>
        <v>240000</v>
      </c>
      <c r="O13" s="638" t="s">
        <v>598</v>
      </c>
      <c r="P13" s="639"/>
      <c r="Q13" s="639"/>
      <c r="R13" s="639"/>
      <c r="S13" s="639"/>
      <c r="T13" s="640"/>
    </row>
    <row r="14" spans="1:20" ht="15" thickBot="1">
      <c r="A14" s="592" t="s">
        <v>533</v>
      </c>
      <c r="B14" s="593"/>
      <c r="C14" s="599">
        <f>C13*42*12</f>
        <v>1008000</v>
      </c>
      <c r="D14" s="585"/>
      <c r="E14" s="586"/>
      <c r="F14" s="600" t="s">
        <v>535</v>
      </c>
      <c r="G14" s="601"/>
      <c r="H14" s="601"/>
      <c r="I14" s="601"/>
      <c r="J14" s="604">
        <f>B17/J13</f>
        <v>10.426278353360038</v>
      </c>
      <c r="K14" s="602" t="s">
        <v>537</v>
      </c>
      <c r="L14" s="603"/>
      <c r="M14" s="8"/>
      <c r="O14" s="638"/>
      <c r="P14" s="641">
        <f>B17/180</f>
        <v>13901.704471146717</v>
      </c>
      <c r="Q14" s="639"/>
      <c r="R14" s="639"/>
      <c r="S14" s="639"/>
      <c r="T14" s="640"/>
    </row>
    <row r="15" spans="1:20">
      <c r="A15" s="594" t="s">
        <v>593</v>
      </c>
      <c r="B15" s="595"/>
      <c r="C15" s="633">
        <v>3.7999999999999999E-2</v>
      </c>
      <c r="D15" s="631" t="s">
        <v>530</v>
      </c>
      <c r="E15" s="586"/>
      <c r="O15" s="638" t="s">
        <v>599</v>
      </c>
      <c r="P15" s="642"/>
      <c r="Q15" s="642"/>
      <c r="R15" s="642"/>
      <c r="S15" s="642"/>
      <c r="T15" s="643"/>
    </row>
    <row r="16" spans="1:20" ht="15" thickBot="1">
      <c r="A16" s="596" t="s">
        <v>449</v>
      </c>
      <c r="B16" s="597" t="s">
        <v>532</v>
      </c>
      <c r="C16" s="598" t="s">
        <v>536</v>
      </c>
      <c r="D16" s="609" t="s">
        <v>538</v>
      </c>
      <c r="E16" s="586"/>
      <c r="O16" s="644"/>
      <c r="P16" s="645">
        <f>P14+P11</f>
        <v>21101.704471146717</v>
      </c>
      <c r="Q16" s="648" t="s">
        <v>702</v>
      </c>
      <c r="R16" s="649"/>
      <c r="S16" s="649"/>
      <c r="T16" s="650"/>
    </row>
    <row r="17" spans="1:18">
      <c r="A17" s="590" t="s">
        <v>531</v>
      </c>
      <c r="B17" s="599">
        <f>B530</f>
        <v>2502306.8048064089</v>
      </c>
      <c r="C17" s="591">
        <f>SUM(C19:C530)</f>
        <v>1571318.4633890525</v>
      </c>
      <c r="D17" s="585"/>
      <c r="E17" s="586"/>
    </row>
    <row r="18" spans="1:18">
      <c r="A18" s="513">
        <v>43475</v>
      </c>
      <c r="B18" s="524">
        <f>C13</f>
        <v>2000</v>
      </c>
      <c r="C18" s="524"/>
      <c r="D18"/>
      <c r="E18" s="586"/>
    </row>
    <row r="19" spans="1:18">
      <c r="A19" s="513">
        <f t="shared" ref="A19:A82" si="0">A18+30</f>
        <v>43505</v>
      </c>
      <c r="B19" s="524">
        <f>B18+C18+$C$13</f>
        <v>4000</v>
      </c>
      <c r="C19" s="524"/>
      <c r="D19"/>
      <c r="E19" s="586"/>
    </row>
    <row r="20" spans="1:18">
      <c r="A20" s="513">
        <f t="shared" si="0"/>
        <v>43535</v>
      </c>
      <c r="B20" s="524">
        <f t="shared" ref="B20:B83" si="1">B19+C19+$C$13</f>
        <v>6000</v>
      </c>
      <c r="C20" s="524"/>
      <c r="D20"/>
      <c r="E20" s="586"/>
    </row>
    <row r="21" spans="1:18">
      <c r="A21" s="513">
        <f t="shared" si="0"/>
        <v>43565</v>
      </c>
      <c r="B21" s="524">
        <f t="shared" si="1"/>
        <v>8000</v>
      </c>
      <c r="C21" s="524"/>
      <c r="D21"/>
      <c r="E21" s="586"/>
    </row>
    <row r="22" spans="1:18">
      <c r="A22" s="513">
        <f t="shared" si="0"/>
        <v>43595</v>
      </c>
      <c r="B22" s="524">
        <f t="shared" si="1"/>
        <v>10000</v>
      </c>
      <c r="C22" s="524"/>
      <c r="D22"/>
      <c r="E22" s="586"/>
      <c r="R22" s="256"/>
    </row>
    <row r="23" spans="1:18">
      <c r="A23" s="513">
        <f t="shared" si="0"/>
        <v>43625</v>
      </c>
      <c r="B23" s="524">
        <f t="shared" si="1"/>
        <v>12000</v>
      </c>
      <c r="C23" s="524"/>
      <c r="D23"/>
      <c r="E23" s="586"/>
      <c r="R23" s="256"/>
    </row>
    <row r="24" spans="1:18">
      <c r="A24" s="513">
        <f t="shared" si="0"/>
        <v>43655</v>
      </c>
      <c r="B24" s="524">
        <f t="shared" si="1"/>
        <v>14000</v>
      </c>
      <c r="C24" s="524"/>
      <c r="D24"/>
      <c r="E24" s="586"/>
    </row>
    <row r="25" spans="1:18">
      <c r="A25" s="513">
        <f t="shared" si="0"/>
        <v>43685</v>
      </c>
      <c r="B25" s="524">
        <f t="shared" si="1"/>
        <v>16000</v>
      </c>
      <c r="C25" s="524"/>
      <c r="D25"/>
      <c r="E25" s="586"/>
    </row>
    <row r="26" spans="1:18">
      <c r="A26" s="513">
        <f t="shared" si="0"/>
        <v>43715</v>
      </c>
      <c r="B26" s="524">
        <f t="shared" si="1"/>
        <v>18000</v>
      </c>
      <c r="C26" s="524"/>
      <c r="D26"/>
      <c r="E26" s="634" t="s">
        <v>594</v>
      </c>
    </row>
    <row r="27" spans="1:18">
      <c r="A27" s="513">
        <f t="shared" si="0"/>
        <v>43745</v>
      </c>
      <c r="B27" s="524">
        <f t="shared" si="1"/>
        <v>20000</v>
      </c>
      <c r="C27" s="524"/>
      <c r="D27"/>
      <c r="E27" s="634" t="s">
        <v>595</v>
      </c>
    </row>
    <row r="28" spans="1:18">
      <c r="A28" s="513">
        <f t="shared" si="0"/>
        <v>43775</v>
      </c>
      <c r="B28" s="524">
        <f t="shared" si="1"/>
        <v>22000</v>
      </c>
      <c r="C28" s="524"/>
      <c r="D28"/>
      <c r="E28" s="634" t="s">
        <v>596</v>
      </c>
    </row>
    <row r="29" spans="1:18">
      <c r="A29" s="513">
        <f t="shared" si="0"/>
        <v>43805</v>
      </c>
      <c r="B29" s="524">
        <f t="shared" si="1"/>
        <v>24000</v>
      </c>
      <c r="C29" s="524"/>
      <c r="D29"/>
      <c r="E29" s="634"/>
    </row>
    <row r="30" spans="1:18">
      <c r="A30" s="513">
        <f t="shared" si="0"/>
        <v>43835</v>
      </c>
      <c r="B30" s="524">
        <f t="shared" si="1"/>
        <v>26000</v>
      </c>
      <c r="C30" s="524">
        <f>B29*(1+$C$15)-B29</f>
        <v>912</v>
      </c>
      <c r="D30"/>
      <c r="E30" s="634"/>
    </row>
    <row r="31" spans="1:18">
      <c r="A31" s="513">
        <f t="shared" si="0"/>
        <v>43865</v>
      </c>
      <c r="B31" s="524">
        <f t="shared" si="1"/>
        <v>28912</v>
      </c>
      <c r="C31" s="524"/>
      <c r="D31"/>
      <c r="E31" s="586"/>
      <c r="J31" s="629"/>
    </row>
    <row r="32" spans="1:18">
      <c r="A32" s="513">
        <f t="shared" si="0"/>
        <v>43895</v>
      </c>
      <c r="B32" s="524">
        <f t="shared" si="1"/>
        <v>30912</v>
      </c>
      <c r="C32" s="524"/>
      <c r="D32"/>
      <c r="E32" s="586"/>
    </row>
    <row r="33" spans="1:5">
      <c r="A33" s="513">
        <f t="shared" si="0"/>
        <v>43925</v>
      </c>
      <c r="B33" s="524">
        <f t="shared" si="1"/>
        <v>32912</v>
      </c>
      <c r="C33" s="524"/>
      <c r="D33"/>
      <c r="E33" s="586"/>
    </row>
    <row r="34" spans="1:5">
      <c r="A34" s="513">
        <f t="shared" si="0"/>
        <v>43955</v>
      </c>
      <c r="B34" s="524">
        <f t="shared" si="1"/>
        <v>34912</v>
      </c>
      <c r="C34" s="524"/>
      <c r="D34"/>
      <c r="E34" s="586"/>
    </row>
    <row r="35" spans="1:5">
      <c r="A35" s="513">
        <f t="shared" si="0"/>
        <v>43985</v>
      </c>
      <c r="B35" s="524">
        <f t="shared" si="1"/>
        <v>36912</v>
      </c>
      <c r="C35" s="524"/>
      <c r="D35"/>
      <c r="E35" s="586"/>
    </row>
    <row r="36" spans="1:5">
      <c r="A36" s="513">
        <f t="shared" si="0"/>
        <v>44015</v>
      </c>
      <c r="B36" s="524">
        <f t="shared" si="1"/>
        <v>38912</v>
      </c>
      <c r="C36" s="524"/>
      <c r="D36"/>
      <c r="E36" s="586"/>
    </row>
    <row r="37" spans="1:5">
      <c r="A37" s="513">
        <f t="shared" si="0"/>
        <v>44045</v>
      </c>
      <c r="B37" s="524">
        <f t="shared" si="1"/>
        <v>40912</v>
      </c>
      <c r="C37" s="524"/>
      <c r="D37"/>
      <c r="E37" s="586"/>
    </row>
    <row r="38" spans="1:5">
      <c r="A38" s="513">
        <f t="shared" si="0"/>
        <v>44075</v>
      </c>
      <c r="B38" s="524">
        <f t="shared" si="1"/>
        <v>42912</v>
      </c>
      <c r="C38" s="524"/>
      <c r="D38"/>
      <c r="E38" s="586"/>
    </row>
    <row r="39" spans="1:5">
      <c r="A39" s="513">
        <f t="shared" si="0"/>
        <v>44105</v>
      </c>
      <c r="B39" s="524">
        <f t="shared" si="1"/>
        <v>44912</v>
      </c>
      <c r="C39" s="524"/>
      <c r="D39"/>
      <c r="E39" s="586"/>
    </row>
    <row r="40" spans="1:5">
      <c r="A40" s="513">
        <f>A39+31</f>
        <v>44136</v>
      </c>
      <c r="B40" s="524">
        <f t="shared" si="1"/>
        <v>46912</v>
      </c>
      <c r="C40" s="524"/>
      <c r="D40"/>
      <c r="E40" s="586"/>
    </row>
    <row r="41" spans="1:5">
      <c r="A41" s="513">
        <f>A40+30</f>
        <v>44166</v>
      </c>
      <c r="B41" s="524">
        <f t="shared" si="1"/>
        <v>48912</v>
      </c>
      <c r="C41" s="524"/>
      <c r="D41"/>
      <c r="E41" s="586"/>
    </row>
    <row r="42" spans="1:5">
      <c r="A42" s="513">
        <f>A41+40</f>
        <v>44206</v>
      </c>
      <c r="B42" s="524">
        <f t="shared" si="1"/>
        <v>50912</v>
      </c>
      <c r="C42" s="524">
        <f>B41*(1+$C$15)-B41</f>
        <v>1858.6560000000027</v>
      </c>
      <c r="D42"/>
      <c r="E42" s="586"/>
    </row>
    <row r="43" spans="1:5">
      <c r="A43" s="513">
        <f t="shared" si="0"/>
        <v>44236</v>
      </c>
      <c r="B43" s="524">
        <f t="shared" si="1"/>
        <v>54770.656000000003</v>
      </c>
      <c r="C43" s="524"/>
      <c r="D43"/>
      <c r="E43" s="586"/>
    </row>
    <row r="44" spans="1:5">
      <c r="A44" s="513">
        <f t="shared" si="0"/>
        <v>44266</v>
      </c>
      <c r="B44" s="524">
        <f t="shared" si="1"/>
        <v>56770.656000000003</v>
      </c>
      <c r="C44" s="524"/>
      <c r="D44"/>
      <c r="E44" s="586"/>
    </row>
    <row r="45" spans="1:5">
      <c r="A45" s="513">
        <f t="shared" si="0"/>
        <v>44296</v>
      </c>
      <c r="B45" s="524">
        <f t="shared" si="1"/>
        <v>58770.656000000003</v>
      </c>
      <c r="C45" s="524"/>
      <c r="D45"/>
      <c r="E45" s="586"/>
    </row>
    <row r="46" spans="1:5">
      <c r="A46" s="513">
        <f t="shared" si="0"/>
        <v>44326</v>
      </c>
      <c r="B46" s="524">
        <f t="shared" si="1"/>
        <v>60770.656000000003</v>
      </c>
      <c r="C46" s="524"/>
      <c r="D46"/>
      <c r="E46" s="586"/>
    </row>
    <row r="47" spans="1:5">
      <c r="A47" s="513">
        <f t="shared" si="0"/>
        <v>44356</v>
      </c>
      <c r="B47" s="524">
        <f t="shared" si="1"/>
        <v>62770.656000000003</v>
      </c>
      <c r="C47" s="524"/>
      <c r="D47"/>
      <c r="E47" s="586"/>
    </row>
    <row r="48" spans="1:5">
      <c r="A48" s="513">
        <f t="shared" si="0"/>
        <v>44386</v>
      </c>
      <c r="B48" s="524">
        <f t="shared" si="1"/>
        <v>64770.656000000003</v>
      </c>
      <c r="C48" s="524"/>
      <c r="D48"/>
      <c r="E48" s="586"/>
    </row>
    <row r="49" spans="1:5">
      <c r="A49" s="513">
        <f t="shared" si="0"/>
        <v>44416</v>
      </c>
      <c r="B49" s="524">
        <f t="shared" si="1"/>
        <v>66770.656000000003</v>
      </c>
      <c r="C49" s="524"/>
      <c r="D49"/>
      <c r="E49" s="586"/>
    </row>
    <row r="50" spans="1:5">
      <c r="A50" s="513">
        <f t="shared" si="0"/>
        <v>44446</v>
      </c>
      <c r="B50" s="524">
        <f t="shared" si="1"/>
        <v>68770.656000000003</v>
      </c>
      <c r="C50" s="524"/>
      <c r="D50"/>
      <c r="E50" s="586"/>
    </row>
    <row r="51" spans="1:5">
      <c r="A51" s="513">
        <f t="shared" si="0"/>
        <v>44476</v>
      </c>
      <c r="B51" s="524">
        <f t="shared" si="1"/>
        <v>70770.656000000003</v>
      </c>
      <c r="C51" s="524"/>
      <c r="D51"/>
      <c r="E51" s="586"/>
    </row>
    <row r="52" spans="1:5">
      <c r="A52" s="513">
        <f t="shared" si="0"/>
        <v>44506</v>
      </c>
      <c r="B52" s="524">
        <f t="shared" si="1"/>
        <v>72770.656000000003</v>
      </c>
      <c r="C52" s="524"/>
      <c r="D52"/>
      <c r="E52" s="586"/>
    </row>
    <row r="53" spans="1:5">
      <c r="A53" s="513">
        <f t="shared" si="0"/>
        <v>44536</v>
      </c>
      <c r="B53" s="524">
        <f t="shared" si="1"/>
        <v>74770.656000000003</v>
      </c>
      <c r="C53" s="524"/>
      <c r="D53"/>
      <c r="E53" s="586"/>
    </row>
    <row r="54" spans="1:5">
      <c r="A54" s="513">
        <f t="shared" si="0"/>
        <v>44566</v>
      </c>
      <c r="B54" s="524">
        <f t="shared" si="1"/>
        <v>76770.656000000003</v>
      </c>
      <c r="C54" s="524">
        <f>B53*(1+$C$15)-B53</f>
        <v>2841.2849280000082</v>
      </c>
      <c r="D54"/>
      <c r="E54" s="586"/>
    </row>
    <row r="55" spans="1:5">
      <c r="A55" s="513">
        <f t="shared" si="0"/>
        <v>44596</v>
      </c>
      <c r="B55" s="524">
        <f t="shared" si="1"/>
        <v>81611.940928000011</v>
      </c>
      <c r="C55" s="524"/>
      <c r="D55"/>
      <c r="E55" s="586"/>
    </row>
    <row r="56" spans="1:5">
      <c r="A56" s="513">
        <f t="shared" si="0"/>
        <v>44626</v>
      </c>
      <c r="B56" s="524">
        <f t="shared" si="1"/>
        <v>83611.940928000011</v>
      </c>
      <c r="C56" s="524"/>
      <c r="D56"/>
      <c r="E56" s="586"/>
    </row>
    <row r="57" spans="1:5">
      <c r="A57" s="513">
        <f t="shared" si="0"/>
        <v>44656</v>
      </c>
      <c r="B57" s="524">
        <f t="shared" si="1"/>
        <v>85611.940928000011</v>
      </c>
      <c r="C57" s="524"/>
      <c r="D57"/>
      <c r="E57" s="586"/>
    </row>
    <row r="58" spans="1:5">
      <c r="A58" s="513">
        <f t="shared" si="0"/>
        <v>44686</v>
      </c>
      <c r="B58" s="524">
        <f t="shared" si="1"/>
        <v>87611.940928000011</v>
      </c>
      <c r="C58" s="524"/>
      <c r="D58"/>
      <c r="E58" s="586"/>
    </row>
    <row r="59" spans="1:5">
      <c r="A59" s="513">
        <f t="shared" si="0"/>
        <v>44716</v>
      </c>
      <c r="B59" s="524">
        <f t="shared" si="1"/>
        <v>89611.940928000011</v>
      </c>
      <c r="C59" s="524"/>
      <c r="D59"/>
      <c r="E59" s="586"/>
    </row>
    <row r="60" spans="1:5">
      <c r="A60" s="513">
        <f t="shared" si="0"/>
        <v>44746</v>
      </c>
      <c r="B60" s="524">
        <f t="shared" si="1"/>
        <v>91611.940928000011</v>
      </c>
      <c r="C60" s="524"/>
      <c r="D60"/>
      <c r="E60" s="586"/>
    </row>
    <row r="61" spans="1:5">
      <c r="A61" s="513">
        <f t="shared" si="0"/>
        <v>44776</v>
      </c>
      <c r="B61" s="524">
        <f t="shared" si="1"/>
        <v>93611.940928000011</v>
      </c>
      <c r="C61" s="524"/>
      <c r="D61"/>
      <c r="E61" s="586"/>
    </row>
    <row r="62" spans="1:5">
      <c r="A62" s="513">
        <f t="shared" si="0"/>
        <v>44806</v>
      </c>
      <c r="B62" s="524">
        <f t="shared" si="1"/>
        <v>95611.940928000011</v>
      </c>
      <c r="C62" s="524"/>
      <c r="D62"/>
      <c r="E62" s="586"/>
    </row>
    <row r="63" spans="1:5">
      <c r="A63" s="513">
        <f t="shared" si="0"/>
        <v>44836</v>
      </c>
      <c r="B63" s="524">
        <f t="shared" si="1"/>
        <v>97611.940928000011</v>
      </c>
      <c r="C63" s="524"/>
      <c r="D63"/>
      <c r="E63" s="586"/>
    </row>
    <row r="64" spans="1:5">
      <c r="A64" s="513">
        <f t="shared" si="0"/>
        <v>44866</v>
      </c>
      <c r="B64" s="524">
        <f t="shared" si="1"/>
        <v>99611.940928000011</v>
      </c>
      <c r="C64" s="524"/>
      <c r="D64"/>
      <c r="E64" s="586"/>
    </row>
    <row r="65" spans="1:5">
      <c r="A65" s="513">
        <f t="shared" si="0"/>
        <v>44896</v>
      </c>
      <c r="B65" s="524">
        <f t="shared" si="1"/>
        <v>101611.94092800001</v>
      </c>
      <c r="C65" s="524"/>
      <c r="D65"/>
      <c r="E65" s="586"/>
    </row>
    <row r="66" spans="1:5">
      <c r="A66" s="513">
        <f>A65+40</f>
        <v>44936</v>
      </c>
      <c r="B66" s="524">
        <f t="shared" si="1"/>
        <v>103611.94092800001</v>
      </c>
      <c r="C66" s="524">
        <f>B65*(1+$C$15)-B65</f>
        <v>3861.2537552639988</v>
      </c>
      <c r="D66"/>
      <c r="E66" s="586"/>
    </row>
    <row r="67" spans="1:5">
      <c r="A67" s="513">
        <f t="shared" si="0"/>
        <v>44966</v>
      </c>
      <c r="B67" s="524">
        <f t="shared" si="1"/>
        <v>109473.19468326401</v>
      </c>
      <c r="C67" s="524"/>
      <c r="D67"/>
      <c r="E67" s="586"/>
    </row>
    <row r="68" spans="1:5">
      <c r="A68" s="513">
        <f t="shared" si="0"/>
        <v>44996</v>
      </c>
      <c r="B68" s="524">
        <f t="shared" si="1"/>
        <v>111473.19468326401</v>
      </c>
      <c r="C68" s="524"/>
      <c r="D68"/>
      <c r="E68" s="586"/>
    </row>
    <row r="69" spans="1:5">
      <c r="A69" s="513">
        <f t="shared" si="0"/>
        <v>45026</v>
      </c>
      <c r="B69" s="524">
        <f t="shared" si="1"/>
        <v>113473.19468326401</v>
      </c>
      <c r="C69" s="524"/>
      <c r="D69"/>
      <c r="E69" s="586"/>
    </row>
    <row r="70" spans="1:5">
      <c r="A70" s="513">
        <f t="shared" si="0"/>
        <v>45056</v>
      </c>
      <c r="B70" s="524">
        <f t="shared" si="1"/>
        <v>115473.19468326401</v>
      </c>
      <c r="C70" s="524"/>
      <c r="D70"/>
      <c r="E70" s="586"/>
    </row>
    <row r="71" spans="1:5">
      <c r="A71" s="513">
        <f t="shared" si="0"/>
        <v>45086</v>
      </c>
      <c r="B71" s="524">
        <f t="shared" si="1"/>
        <v>117473.19468326401</v>
      </c>
      <c r="C71" s="524"/>
      <c r="D71"/>
      <c r="E71" s="586"/>
    </row>
    <row r="72" spans="1:5">
      <c r="A72" s="513">
        <f t="shared" si="0"/>
        <v>45116</v>
      </c>
      <c r="B72" s="524">
        <f t="shared" si="1"/>
        <v>119473.19468326401</v>
      </c>
      <c r="C72" s="524"/>
      <c r="D72"/>
      <c r="E72" s="586"/>
    </row>
    <row r="73" spans="1:5">
      <c r="A73" s="513">
        <f t="shared" si="0"/>
        <v>45146</v>
      </c>
      <c r="B73" s="524">
        <f t="shared" si="1"/>
        <v>121473.19468326401</v>
      </c>
      <c r="C73" s="524"/>
      <c r="D73"/>
      <c r="E73" s="586"/>
    </row>
    <row r="74" spans="1:5">
      <c r="A74" s="513">
        <f t="shared" si="0"/>
        <v>45176</v>
      </c>
      <c r="B74" s="524">
        <f t="shared" si="1"/>
        <v>123473.19468326401</v>
      </c>
      <c r="C74" s="524"/>
      <c r="D74"/>
      <c r="E74" s="586"/>
    </row>
    <row r="75" spans="1:5">
      <c r="A75" s="513">
        <f t="shared" si="0"/>
        <v>45206</v>
      </c>
      <c r="B75" s="524">
        <f t="shared" si="1"/>
        <v>125473.19468326401</v>
      </c>
      <c r="C75" s="524"/>
      <c r="D75"/>
      <c r="E75" s="586"/>
    </row>
    <row r="76" spans="1:5">
      <c r="A76" s="513">
        <f t="shared" si="0"/>
        <v>45236</v>
      </c>
      <c r="B76" s="524">
        <f t="shared" si="1"/>
        <v>127473.19468326401</v>
      </c>
      <c r="C76" s="524"/>
      <c r="D76"/>
      <c r="E76" s="586"/>
    </row>
    <row r="77" spans="1:5">
      <c r="A77" s="513">
        <f t="shared" si="0"/>
        <v>45266</v>
      </c>
      <c r="B77" s="524">
        <f t="shared" si="1"/>
        <v>129473.19468326401</v>
      </c>
      <c r="C77" s="524"/>
      <c r="D77"/>
      <c r="E77" s="586"/>
    </row>
    <row r="78" spans="1:5">
      <c r="A78" s="513">
        <f t="shared" si="0"/>
        <v>45296</v>
      </c>
      <c r="B78" s="524">
        <f t="shared" si="1"/>
        <v>131473.19468326401</v>
      </c>
      <c r="C78" s="524">
        <f>B77*(1+$C$15)-B77</f>
        <v>4919.9813979640312</v>
      </c>
      <c r="D78"/>
      <c r="E78" s="586"/>
    </row>
    <row r="79" spans="1:5">
      <c r="A79" s="513">
        <f t="shared" si="0"/>
        <v>45326</v>
      </c>
      <c r="B79" s="524">
        <f t="shared" si="1"/>
        <v>138393.17608122804</v>
      </c>
      <c r="C79" s="524"/>
      <c r="D79"/>
      <c r="E79" s="586"/>
    </row>
    <row r="80" spans="1:5">
      <c r="A80" s="513">
        <f t="shared" si="0"/>
        <v>45356</v>
      </c>
      <c r="B80" s="524">
        <f t="shared" si="1"/>
        <v>140393.17608122804</v>
      </c>
      <c r="C80" s="524"/>
      <c r="D80"/>
      <c r="E80" s="586"/>
    </row>
    <row r="81" spans="1:5">
      <c r="A81" s="513">
        <f t="shared" si="0"/>
        <v>45386</v>
      </c>
      <c r="B81" s="524">
        <f t="shared" si="1"/>
        <v>142393.17608122804</v>
      </c>
      <c r="C81" s="524"/>
      <c r="D81"/>
      <c r="E81" s="586"/>
    </row>
    <row r="82" spans="1:5">
      <c r="A82" s="513">
        <f t="shared" si="0"/>
        <v>45416</v>
      </c>
      <c r="B82" s="524">
        <f t="shared" si="1"/>
        <v>144393.17608122804</v>
      </c>
      <c r="C82" s="524"/>
      <c r="D82"/>
      <c r="E82" s="586"/>
    </row>
    <row r="83" spans="1:5">
      <c r="A83" s="513">
        <f t="shared" ref="A83:A146" si="2">A82+30</f>
        <v>45446</v>
      </c>
      <c r="B83" s="524">
        <f t="shared" si="1"/>
        <v>146393.17608122804</v>
      </c>
      <c r="C83" s="524"/>
      <c r="D83"/>
      <c r="E83" s="586"/>
    </row>
    <row r="84" spans="1:5">
      <c r="A84" s="513">
        <f t="shared" si="2"/>
        <v>45476</v>
      </c>
      <c r="B84" s="524">
        <f t="shared" ref="B84:B147" si="3">B83+C83+$C$13</f>
        <v>148393.17608122804</v>
      </c>
      <c r="C84" s="524"/>
      <c r="D84"/>
      <c r="E84" s="586"/>
    </row>
    <row r="85" spans="1:5">
      <c r="A85" s="513">
        <f t="shared" si="2"/>
        <v>45506</v>
      </c>
      <c r="B85" s="524">
        <f t="shared" si="3"/>
        <v>150393.17608122804</v>
      </c>
      <c r="C85" s="524"/>
      <c r="D85"/>
      <c r="E85" s="586"/>
    </row>
    <row r="86" spans="1:5">
      <c r="A86" s="513">
        <f t="shared" si="2"/>
        <v>45536</v>
      </c>
      <c r="B86" s="524">
        <f t="shared" si="3"/>
        <v>152393.17608122804</v>
      </c>
      <c r="C86" s="524"/>
      <c r="D86"/>
      <c r="E86" s="586"/>
    </row>
    <row r="87" spans="1:5">
      <c r="A87" s="513">
        <f t="shared" si="2"/>
        <v>45566</v>
      </c>
      <c r="B87" s="524">
        <f t="shared" si="3"/>
        <v>154393.17608122804</v>
      </c>
      <c r="C87" s="524"/>
      <c r="D87"/>
      <c r="E87" s="586"/>
    </row>
    <row r="88" spans="1:5">
      <c r="A88" s="513">
        <f>A87+31</f>
        <v>45597</v>
      </c>
      <c r="B88" s="524">
        <f t="shared" si="3"/>
        <v>156393.17608122804</v>
      </c>
      <c r="C88" s="524"/>
      <c r="D88"/>
      <c r="E88" s="586"/>
    </row>
    <row r="89" spans="1:5">
      <c r="A89" s="513">
        <f t="shared" si="2"/>
        <v>45627</v>
      </c>
      <c r="B89" s="524">
        <f t="shared" si="3"/>
        <v>158393.17608122804</v>
      </c>
      <c r="C89" s="524"/>
      <c r="D89"/>
      <c r="E89" s="586"/>
    </row>
    <row r="90" spans="1:5">
      <c r="A90" s="513">
        <f>A89+40</f>
        <v>45667</v>
      </c>
      <c r="B90" s="524">
        <f t="shared" si="3"/>
        <v>160393.17608122804</v>
      </c>
      <c r="C90" s="524">
        <f>B89*(1+$C$15)-B89</f>
        <v>6018.9406910866674</v>
      </c>
      <c r="D90"/>
      <c r="E90" s="586"/>
    </row>
    <row r="91" spans="1:5">
      <c r="A91" s="513">
        <f t="shared" si="2"/>
        <v>45697</v>
      </c>
      <c r="B91" s="524">
        <f t="shared" si="3"/>
        <v>168412.11677231471</v>
      </c>
      <c r="C91" s="524"/>
      <c r="D91"/>
      <c r="E91" s="586"/>
    </row>
    <row r="92" spans="1:5">
      <c r="A92" s="513">
        <f t="shared" si="2"/>
        <v>45727</v>
      </c>
      <c r="B92" s="524">
        <f t="shared" si="3"/>
        <v>170412.11677231471</v>
      </c>
      <c r="C92" s="524"/>
      <c r="D92"/>
      <c r="E92" s="586"/>
    </row>
    <row r="93" spans="1:5">
      <c r="A93" s="513">
        <f t="shared" si="2"/>
        <v>45757</v>
      </c>
      <c r="B93" s="524">
        <f t="shared" si="3"/>
        <v>172412.11677231471</v>
      </c>
      <c r="C93" s="524"/>
      <c r="D93"/>
      <c r="E93" s="586"/>
    </row>
    <row r="94" spans="1:5">
      <c r="A94" s="513">
        <f t="shared" si="2"/>
        <v>45787</v>
      </c>
      <c r="B94" s="524">
        <f t="shared" si="3"/>
        <v>174412.11677231471</v>
      </c>
      <c r="C94" s="524"/>
      <c r="D94"/>
      <c r="E94" s="586"/>
    </row>
    <row r="95" spans="1:5">
      <c r="A95" s="513">
        <f t="shared" si="2"/>
        <v>45817</v>
      </c>
      <c r="B95" s="524">
        <f t="shared" si="3"/>
        <v>176412.11677231471</v>
      </c>
      <c r="C95" s="524"/>
      <c r="D95"/>
      <c r="E95" s="586"/>
    </row>
    <row r="96" spans="1:5">
      <c r="A96" s="513">
        <f t="shared" si="2"/>
        <v>45847</v>
      </c>
      <c r="B96" s="524">
        <f t="shared" si="3"/>
        <v>178412.11677231471</v>
      </c>
      <c r="C96" s="524"/>
      <c r="D96"/>
      <c r="E96" s="586"/>
    </row>
    <row r="97" spans="1:5">
      <c r="A97" s="513">
        <f t="shared" si="2"/>
        <v>45877</v>
      </c>
      <c r="B97" s="524">
        <f t="shared" si="3"/>
        <v>180412.11677231471</v>
      </c>
      <c r="C97" s="524"/>
      <c r="D97"/>
      <c r="E97" s="586"/>
    </row>
    <row r="98" spans="1:5">
      <c r="A98" s="513">
        <f t="shared" si="2"/>
        <v>45907</v>
      </c>
      <c r="B98" s="524">
        <f t="shared" si="3"/>
        <v>182412.11677231471</v>
      </c>
      <c r="C98" s="524"/>
      <c r="D98"/>
      <c r="E98" s="586"/>
    </row>
    <row r="99" spans="1:5">
      <c r="A99" s="513">
        <f t="shared" si="2"/>
        <v>45937</v>
      </c>
      <c r="B99" s="524">
        <f t="shared" si="3"/>
        <v>184412.11677231471</v>
      </c>
      <c r="C99" s="524"/>
      <c r="D99"/>
      <c r="E99" s="586"/>
    </row>
    <row r="100" spans="1:5">
      <c r="A100" s="513">
        <f t="shared" si="2"/>
        <v>45967</v>
      </c>
      <c r="B100" s="524">
        <f t="shared" si="3"/>
        <v>186412.11677231471</v>
      </c>
      <c r="C100" s="524"/>
      <c r="D100"/>
      <c r="E100" s="586"/>
    </row>
    <row r="101" spans="1:5">
      <c r="A101" s="513">
        <f t="shared" si="2"/>
        <v>45997</v>
      </c>
      <c r="B101" s="524">
        <f t="shared" si="3"/>
        <v>188412.11677231471</v>
      </c>
      <c r="C101" s="524"/>
      <c r="D101"/>
      <c r="E101" s="586"/>
    </row>
    <row r="102" spans="1:5">
      <c r="A102" s="513">
        <f t="shared" si="2"/>
        <v>46027</v>
      </c>
      <c r="B102" s="524">
        <f t="shared" si="3"/>
        <v>190412.11677231471</v>
      </c>
      <c r="C102" s="524">
        <f>B101*(1+$C$15)-B101</f>
        <v>7159.6604373479786</v>
      </c>
      <c r="D102"/>
      <c r="E102" s="586"/>
    </row>
    <row r="103" spans="1:5">
      <c r="A103" s="513">
        <f t="shared" si="2"/>
        <v>46057</v>
      </c>
      <c r="B103" s="524">
        <f t="shared" si="3"/>
        <v>199571.77720966269</v>
      </c>
      <c r="C103" s="524"/>
      <c r="D103"/>
      <c r="E103" s="586"/>
    </row>
    <row r="104" spans="1:5">
      <c r="A104" s="513">
        <f t="shared" si="2"/>
        <v>46087</v>
      </c>
      <c r="B104" s="524">
        <f t="shared" si="3"/>
        <v>201571.77720966269</v>
      </c>
      <c r="C104" s="524"/>
      <c r="D104"/>
      <c r="E104" s="586"/>
    </row>
    <row r="105" spans="1:5">
      <c r="A105" s="513">
        <f t="shared" si="2"/>
        <v>46117</v>
      </c>
      <c r="B105" s="524">
        <f t="shared" si="3"/>
        <v>203571.77720966269</v>
      </c>
      <c r="C105" s="524"/>
      <c r="D105"/>
      <c r="E105" s="586"/>
    </row>
    <row r="106" spans="1:5">
      <c r="A106" s="513">
        <f t="shared" si="2"/>
        <v>46147</v>
      </c>
      <c r="B106" s="524">
        <f t="shared" si="3"/>
        <v>205571.77720966269</v>
      </c>
      <c r="C106" s="524"/>
      <c r="D106"/>
      <c r="E106" s="586"/>
    </row>
    <row r="107" spans="1:5">
      <c r="A107" s="513">
        <f t="shared" si="2"/>
        <v>46177</v>
      </c>
      <c r="B107" s="524">
        <f t="shared" si="3"/>
        <v>207571.77720966269</v>
      </c>
      <c r="C107" s="524"/>
      <c r="D107"/>
      <c r="E107" s="586"/>
    </row>
    <row r="108" spans="1:5">
      <c r="A108" s="513">
        <f t="shared" si="2"/>
        <v>46207</v>
      </c>
      <c r="B108" s="524">
        <f t="shared" si="3"/>
        <v>209571.77720966269</v>
      </c>
      <c r="C108" s="524"/>
      <c r="D108"/>
      <c r="E108" s="586"/>
    </row>
    <row r="109" spans="1:5">
      <c r="A109" s="513">
        <f t="shared" si="2"/>
        <v>46237</v>
      </c>
      <c r="B109" s="524">
        <f t="shared" si="3"/>
        <v>211571.77720966269</v>
      </c>
      <c r="C109" s="524"/>
      <c r="D109"/>
      <c r="E109" s="586"/>
    </row>
    <row r="110" spans="1:5">
      <c r="A110" s="513">
        <f t="shared" si="2"/>
        <v>46267</v>
      </c>
      <c r="B110" s="524">
        <f t="shared" si="3"/>
        <v>213571.77720966269</v>
      </c>
      <c r="C110" s="524"/>
      <c r="D110"/>
      <c r="E110" s="586"/>
    </row>
    <row r="111" spans="1:5">
      <c r="A111" s="513">
        <f t="shared" si="2"/>
        <v>46297</v>
      </c>
      <c r="B111" s="524">
        <f t="shared" si="3"/>
        <v>215571.77720966269</v>
      </c>
      <c r="C111" s="524"/>
      <c r="D111"/>
      <c r="E111" s="586"/>
    </row>
    <row r="112" spans="1:5">
      <c r="A112" s="513">
        <f t="shared" si="2"/>
        <v>46327</v>
      </c>
      <c r="B112" s="524">
        <f t="shared" si="3"/>
        <v>217571.77720966269</v>
      </c>
      <c r="C112" s="524"/>
      <c r="D112"/>
      <c r="E112" s="586"/>
    </row>
    <row r="113" spans="1:5">
      <c r="A113" s="513">
        <f>A112+40</f>
        <v>46367</v>
      </c>
      <c r="B113" s="524">
        <f t="shared" si="3"/>
        <v>219571.77720966269</v>
      </c>
      <c r="C113" s="524"/>
      <c r="D113"/>
      <c r="E113" s="586"/>
    </row>
    <row r="114" spans="1:5">
      <c r="A114" s="513">
        <f t="shared" si="2"/>
        <v>46397</v>
      </c>
      <c r="B114" s="524">
        <f t="shared" si="3"/>
        <v>221571.77720966269</v>
      </c>
      <c r="C114" s="524">
        <f>B113*(1+$C$15)-B113</f>
        <v>8343.727533967176</v>
      </c>
      <c r="D114"/>
      <c r="E114" s="586"/>
    </row>
    <row r="115" spans="1:5">
      <c r="A115" s="513">
        <f t="shared" si="2"/>
        <v>46427</v>
      </c>
      <c r="B115" s="524">
        <f t="shared" si="3"/>
        <v>231915.50474362986</v>
      </c>
      <c r="C115" s="524"/>
      <c r="D115"/>
      <c r="E115" s="586"/>
    </row>
    <row r="116" spans="1:5">
      <c r="A116" s="513">
        <f t="shared" si="2"/>
        <v>46457</v>
      </c>
      <c r="B116" s="524">
        <f t="shared" si="3"/>
        <v>233915.50474362986</v>
      </c>
      <c r="C116" s="524"/>
      <c r="D116"/>
      <c r="E116" s="586"/>
    </row>
    <row r="117" spans="1:5">
      <c r="A117" s="513">
        <f t="shared" si="2"/>
        <v>46487</v>
      </c>
      <c r="B117" s="524">
        <f t="shared" si="3"/>
        <v>235915.50474362986</v>
      </c>
      <c r="C117" s="524"/>
      <c r="D117"/>
      <c r="E117" s="586"/>
    </row>
    <row r="118" spans="1:5">
      <c r="A118" s="513">
        <f t="shared" si="2"/>
        <v>46517</v>
      </c>
      <c r="B118" s="524">
        <f t="shared" si="3"/>
        <v>237915.50474362986</v>
      </c>
      <c r="C118" s="524"/>
      <c r="D118"/>
      <c r="E118" s="586"/>
    </row>
    <row r="119" spans="1:5">
      <c r="A119" s="513">
        <f t="shared" si="2"/>
        <v>46547</v>
      </c>
      <c r="B119" s="524">
        <f t="shared" si="3"/>
        <v>239915.50474362986</v>
      </c>
      <c r="C119" s="524"/>
      <c r="D119"/>
      <c r="E119" s="586"/>
    </row>
    <row r="120" spans="1:5">
      <c r="A120" s="513">
        <f t="shared" si="2"/>
        <v>46577</v>
      </c>
      <c r="B120" s="524">
        <f t="shared" si="3"/>
        <v>241915.50474362986</v>
      </c>
      <c r="C120" s="524"/>
      <c r="D120"/>
      <c r="E120" s="586"/>
    </row>
    <row r="121" spans="1:5">
      <c r="A121" s="513">
        <f t="shared" si="2"/>
        <v>46607</v>
      </c>
      <c r="B121" s="524">
        <f t="shared" si="3"/>
        <v>243915.50474362986</v>
      </c>
      <c r="C121" s="524"/>
      <c r="D121"/>
      <c r="E121" s="586"/>
    </row>
    <row r="122" spans="1:5">
      <c r="A122" s="513">
        <f t="shared" si="2"/>
        <v>46637</v>
      </c>
      <c r="B122" s="524">
        <f t="shared" si="3"/>
        <v>245915.50474362986</v>
      </c>
      <c r="C122" s="524"/>
      <c r="D122"/>
      <c r="E122" s="586"/>
    </row>
    <row r="123" spans="1:5">
      <c r="A123" s="513">
        <f t="shared" si="2"/>
        <v>46667</v>
      </c>
      <c r="B123" s="524">
        <f t="shared" si="3"/>
        <v>247915.50474362986</v>
      </c>
      <c r="C123" s="524"/>
      <c r="D123"/>
      <c r="E123" s="586"/>
    </row>
    <row r="124" spans="1:5">
      <c r="A124" s="513">
        <f t="shared" si="2"/>
        <v>46697</v>
      </c>
      <c r="B124" s="524">
        <f t="shared" si="3"/>
        <v>249915.50474362986</v>
      </c>
      <c r="C124" s="524"/>
      <c r="D124"/>
      <c r="E124" s="586"/>
    </row>
    <row r="125" spans="1:5">
      <c r="A125" s="513">
        <f t="shared" si="2"/>
        <v>46727</v>
      </c>
      <c r="B125" s="524">
        <f t="shared" si="3"/>
        <v>251915.50474362986</v>
      </c>
      <c r="C125" s="524"/>
      <c r="D125"/>
      <c r="E125" s="586"/>
    </row>
    <row r="126" spans="1:5">
      <c r="A126" s="513">
        <f t="shared" si="2"/>
        <v>46757</v>
      </c>
      <c r="B126" s="524">
        <f t="shared" si="3"/>
        <v>253915.50474362986</v>
      </c>
      <c r="C126" s="524">
        <f>B125*(1+$C$15)-B125</f>
        <v>9572.7891802579397</v>
      </c>
      <c r="D126"/>
      <c r="E126" s="586"/>
    </row>
    <row r="127" spans="1:5">
      <c r="A127" s="513">
        <f t="shared" si="2"/>
        <v>46787</v>
      </c>
      <c r="B127" s="524">
        <f t="shared" si="3"/>
        <v>265488.29392388777</v>
      </c>
      <c r="C127" s="524"/>
      <c r="D127"/>
      <c r="E127" s="586"/>
    </row>
    <row r="128" spans="1:5">
      <c r="A128" s="513">
        <f t="shared" si="2"/>
        <v>46817</v>
      </c>
      <c r="B128" s="524">
        <f t="shared" si="3"/>
        <v>267488.29392388777</v>
      </c>
      <c r="C128" s="524"/>
      <c r="D128"/>
      <c r="E128" s="586"/>
    </row>
    <row r="129" spans="1:5">
      <c r="A129" s="513">
        <f t="shared" si="2"/>
        <v>46847</v>
      </c>
      <c r="B129" s="524">
        <f t="shared" si="3"/>
        <v>269488.29392388777</v>
      </c>
      <c r="C129" s="524"/>
      <c r="D129"/>
      <c r="E129" s="586"/>
    </row>
    <row r="130" spans="1:5">
      <c r="A130" s="513">
        <f t="shared" si="2"/>
        <v>46877</v>
      </c>
      <c r="B130" s="524">
        <f t="shared" si="3"/>
        <v>271488.29392388777</v>
      </c>
      <c r="C130" s="524"/>
      <c r="D130"/>
      <c r="E130" s="586"/>
    </row>
    <row r="131" spans="1:5">
      <c r="A131" s="513">
        <f t="shared" si="2"/>
        <v>46907</v>
      </c>
      <c r="B131" s="524">
        <f t="shared" si="3"/>
        <v>273488.29392388777</v>
      </c>
      <c r="C131" s="524"/>
      <c r="D131"/>
      <c r="E131" s="586"/>
    </row>
    <row r="132" spans="1:5">
      <c r="A132" s="513">
        <f t="shared" si="2"/>
        <v>46937</v>
      </c>
      <c r="B132" s="524">
        <f t="shared" si="3"/>
        <v>275488.29392388777</v>
      </c>
      <c r="C132" s="524"/>
      <c r="D132"/>
      <c r="E132" s="586"/>
    </row>
    <row r="133" spans="1:5">
      <c r="A133" s="513">
        <f t="shared" si="2"/>
        <v>46967</v>
      </c>
      <c r="B133" s="524">
        <f t="shared" si="3"/>
        <v>277488.29392388777</v>
      </c>
      <c r="C133" s="524"/>
      <c r="D133"/>
      <c r="E133" s="586"/>
    </row>
    <row r="134" spans="1:5">
      <c r="A134" s="513">
        <f t="shared" si="2"/>
        <v>46997</v>
      </c>
      <c r="B134" s="524">
        <f t="shared" si="3"/>
        <v>279488.29392388777</v>
      </c>
      <c r="C134" s="524"/>
      <c r="D134"/>
      <c r="E134" s="586"/>
    </row>
    <row r="135" spans="1:5">
      <c r="A135" s="513">
        <f t="shared" si="2"/>
        <v>47027</v>
      </c>
      <c r="B135" s="524">
        <f t="shared" si="3"/>
        <v>281488.29392388777</v>
      </c>
      <c r="C135" s="524"/>
      <c r="D135"/>
      <c r="E135" s="586"/>
    </row>
    <row r="136" spans="1:5">
      <c r="A136" s="513">
        <f>A135+31</f>
        <v>47058</v>
      </c>
      <c r="B136" s="524">
        <f t="shared" si="3"/>
        <v>283488.29392388777</v>
      </c>
      <c r="C136" s="524"/>
      <c r="D136"/>
      <c r="E136" s="586"/>
    </row>
    <row r="137" spans="1:5">
      <c r="A137" s="513">
        <f>A136+40</f>
        <v>47098</v>
      </c>
      <c r="B137" s="524">
        <f t="shared" si="3"/>
        <v>285488.29392388777</v>
      </c>
      <c r="C137" s="524"/>
      <c r="D137"/>
      <c r="E137" s="586"/>
    </row>
    <row r="138" spans="1:5">
      <c r="A138" s="513">
        <f t="shared" si="2"/>
        <v>47128</v>
      </c>
      <c r="B138" s="524">
        <f t="shared" si="3"/>
        <v>287488.29392388777</v>
      </c>
      <c r="C138" s="524">
        <f>B137*(1+$C$15)-B137</f>
        <v>10848.555169107742</v>
      </c>
      <c r="D138"/>
      <c r="E138" s="586"/>
    </row>
    <row r="139" spans="1:5">
      <c r="A139" s="513">
        <f t="shared" si="2"/>
        <v>47158</v>
      </c>
      <c r="B139" s="524">
        <f t="shared" si="3"/>
        <v>300336.84909299552</v>
      </c>
      <c r="C139" s="524"/>
      <c r="D139"/>
      <c r="E139" s="586"/>
    </row>
    <row r="140" spans="1:5">
      <c r="A140" s="513">
        <f t="shared" si="2"/>
        <v>47188</v>
      </c>
      <c r="B140" s="524">
        <f t="shared" si="3"/>
        <v>302336.84909299552</v>
      </c>
      <c r="C140" s="524"/>
      <c r="D140"/>
      <c r="E140" s="586"/>
    </row>
    <row r="141" spans="1:5">
      <c r="A141" s="513">
        <f t="shared" si="2"/>
        <v>47218</v>
      </c>
      <c r="B141" s="524">
        <f t="shared" si="3"/>
        <v>304336.84909299552</v>
      </c>
      <c r="C141" s="524"/>
      <c r="D141"/>
      <c r="E141" s="586"/>
    </row>
    <row r="142" spans="1:5">
      <c r="A142" s="513">
        <f t="shared" si="2"/>
        <v>47248</v>
      </c>
      <c r="B142" s="524">
        <f t="shared" si="3"/>
        <v>306336.84909299552</v>
      </c>
      <c r="C142" s="524"/>
      <c r="D142"/>
      <c r="E142" s="586"/>
    </row>
    <row r="143" spans="1:5">
      <c r="A143" s="513">
        <f t="shared" si="2"/>
        <v>47278</v>
      </c>
      <c r="B143" s="524">
        <f t="shared" si="3"/>
        <v>308336.84909299552</v>
      </c>
      <c r="C143" s="524"/>
      <c r="D143"/>
      <c r="E143" s="586"/>
    </row>
    <row r="144" spans="1:5">
      <c r="A144" s="513">
        <f t="shared" si="2"/>
        <v>47308</v>
      </c>
      <c r="B144" s="524">
        <f t="shared" si="3"/>
        <v>310336.84909299552</v>
      </c>
      <c r="C144" s="524"/>
      <c r="D144"/>
      <c r="E144" s="586"/>
    </row>
    <row r="145" spans="1:5">
      <c r="A145" s="513">
        <f t="shared" si="2"/>
        <v>47338</v>
      </c>
      <c r="B145" s="524">
        <f t="shared" si="3"/>
        <v>312336.84909299552</v>
      </c>
      <c r="C145" s="524"/>
      <c r="D145"/>
      <c r="E145" s="586"/>
    </row>
    <row r="146" spans="1:5">
      <c r="A146" s="513">
        <f t="shared" si="2"/>
        <v>47368</v>
      </c>
      <c r="B146" s="524">
        <f t="shared" si="3"/>
        <v>314336.84909299552</v>
      </c>
      <c r="C146" s="524"/>
      <c r="D146"/>
      <c r="E146" s="586"/>
    </row>
    <row r="147" spans="1:5">
      <c r="A147" s="513">
        <f t="shared" ref="A147:A209" si="4">A146+30</f>
        <v>47398</v>
      </c>
      <c r="B147" s="524">
        <f t="shared" si="3"/>
        <v>316336.84909299552</v>
      </c>
      <c r="C147" s="524"/>
      <c r="D147"/>
      <c r="E147" s="586"/>
    </row>
    <row r="148" spans="1:5">
      <c r="A148" s="513">
        <f t="shared" si="4"/>
        <v>47428</v>
      </c>
      <c r="B148" s="524">
        <f t="shared" ref="B148:B211" si="5">B147+C147+$C$13</f>
        <v>318336.84909299552</v>
      </c>
      <c r="C148" s="524"/>
      <c r="D148"/>
      <c r="E148" s="586"/>
    </row>
    <row r="149" spans="1:5">
      <c r="A149" s="513">
        <f t="shared" si="4"/>
        <v>47458</v>
      </c>
      <c r="B149" s="524">
        <f t="shared" si="5"/>
        <v>320336.84909299552</v>
      </c>
      <c r="C149" s="524"/>
      <c r="D149"/>
      <c r="E149" s="586"/>
    </row>
    <row r="150" spans="1:5">
      <c r="A150" s="513">
        <f t="shared" si="4"/>
        <v>47488</v>
      </c>
      <c r="B150" s="524">
        <f t="shared" si="5"/>
        <v>322336.84909299552</v>
      </c>
      <c r="C150" s="524">
        <f>B149*(1+$C$15)-B149</f>
        <v>12172.80026553385</v>
      </c>
      <c r="D150"/>
      <c r="E150" s="586"/>
    </row>
    <row r="151" spans="1:5">
      <c r="A151" s="513">
        <f t="shared" si="4"/>
        <v>47518</v>
      </c>
      <c r="B151" s="524">
        <f t="shared" si="5"/>
        <v>336509.64935852936</v>
      </c>
      <c r="C151" s="524"/>
      <c r="D151"/>
      <c r="E151" s="586"/>
    </row>
    <row r="152" spans="1:5">
      <c r="A152" s="513">
        <f t="shared" si="4"/>
        <v>47548</v>
      </c>
      <c r="B152" s="524">
        <f t="shared" si="5"/>
        <v>338509.64935852936</v>
      </c>
      <c r="C152" s="524"/>
      <c r="D152"/>
      <c r="E152" s="586"/>
    </row>
    <row r="153" spans="1:5">
      <c r="A153" s="513">
        <f t="shared" si="4"/>
        <v>47578</v>
      </c>
      <c r="B153" s="524">
        <f t="shared" si="5"/>
        <v>340509.64935852936</v>
      </c>
      <c r="C153" s="524"/>
      <c r="D153"/>
      <c r="E153" s="586"/>
    </row>
    <row r="154" spans="1:5">
      <c r="A154" s="513">
        <f t="shared" si="4"/>
        <v>47608</v>
      </c>
      <c r="B154" s="524">
        <f t="shared" si="5"/>
        <v>342509.64935852936</v>
      </c>
      <c r="C154" s="524"/>
      <c r="D154"/>
      <c r="E154" s="586"/>
    </row>
    <row r="155" spans="1:5">
      <c r="A155" s="513">
        <f t="shared" si="4"/>
        <v>47638</v>
      </c>
      <c r="B155" s="524">
        <f t="shared" si="5"/>
        <v>344509.64935852936</v>
      </c>
      <c r="C155" s="524"/>
      <c r="D155"/>
      <c r="E155" s="586"/>
    </row>
    <row r="156" spans="1:5">
      <c r="A156" s="513">
        <f t="shared" si="4"/>
        <v>47668</v>
      </c>
      <c r="B156" s="524">
        <f t="shared" si="5"/>
        <v>346509.64935852936</v>
      </c>
      <c r="C156" s="524"/>
      <c r="D156"/>
      <c r="E156" s="586"/>
    </row>
    <row r="157" spans="1:5">
      <c r="A157" s="513">
        <f t="shared" si="4"/>
        <v>47698</v>
      </c>
      <c r="B157" s="524">
        <f t="shared" si="5"/>
        <v>348509.64935852936</v>
      </c>
      <c r="C157" s="524"/>
      <c r="D157"/>
      <c r="E157" s="586"/>
    </row>
    <row r="158" spans="1:5">
      <c r="A158" s="513">
        <f t="shared" si="4"/>
        <v>47728</v>
      </c>
      <c r="B158" s="524">
        <f t="shared" si="5"/>
        <v>350509.64935852936</v>
      </c>
      <c r="C158" s="524"/>
      <c r="D158"/>
      <c r="E158" s="586"/>
    </row>
    <row r="159" spans="1:5">
      <c r="A159" s="513">
        <f t="shared" si="4"/>
        <v>47758</v>
      </c>
      <c r="B159" s="524">
        <f t="shared" si="5"/>
        <v>352509.64935852936</v>
      </c>
      <c r="C159" s="524"/>
      <c r="D159"/>
      <c r="E159" s="586"/>
    </row>
    <row r="160" spans="1:5">
      <c r="A160" s="513">
        <f t="shared" si="4"/>
        <v>47788</v>
      </c>
      <c r="B160" s="524">
        <f t="shared" si="5"/>
        <v>354509.64935852936</v>
      </c>
      <c r="C160" s="524"/>
      <c r="D160"/>
      <c r="E160" s="586"/>
    </row>
    <row r="161" spans="1:5">
      <c r="A161" s="513">
        <f>A160+31</f>
        <v>47819</v>
      </c>
      <c r="B161" s="524">
        <f t="shared" si="5"/>
        <v>356509.64935852936</v>
      </c>
      <c r="C161" s="524"/>
      <c r="D161"/>
      <c r="E161" s="586"/>
    </row>
    <row r="162" spans="1:5">
      <c r="A162" s="513">
        <f>A161+40</f>
        <v>47859</v>
      </c>
      <c r="B162" s="524">
        <f t="shared" si="5"/>
        <v>358509.64935852936</v>
      </c>
      <c r="C162" s="524">
        <f>B161*(1+$C$15)-B161</f>
        <v>13547.3666756241</v>
      </c>
      <c r="D162"/>
      <c r="E162" s="586"/>
    </row>
    <row r="163" spans="1:5">
      <c r="A163" s="513">
        <f t="shared" si="4"/>
        <v>47889</v>
      </c>
      <c r="B163" s="524">
        <f t="shared" si="5"/>
        <v>374057.01603415346</v>
      </c>
      <c r="C163" s="524"/>
      <c r="D163"/>
      <c r="E163" s="586"/>
    </row>
    <row r="164" spans="1:5">
      <c r="A164" s="513">
        <f t="shared" si="4"/>
        <v>47919</v>
      </c>
      <c r="B164" s="524">
        <f t="shared" si="5"/>
        <v>376057.01603415346</v>
      </c>
      <c r="C164" s="524"/>
      <c r="D164"/>
      <c r="E164" s="586"/>
    </row>
    <row r="165" spans="1:5">
      <c r="A165" s="513">
        <f t="shared" si="4"/>
        <v>47949</v>
      </c>
      <c r="B165" s="524">
        <f t="shared" si="5"/>
        <v>378057.01603415346</v>
      </c>
      <c r="C165" s="524"/>
      <c r="D165"/>
      <c r="E165" s="586"/>
    </row>
    <row r="166" spans="1:5">
      <c r="A166" s="513">
        <f t="shared" si="4"/>
        <v>47979</v>
      </c>
      <c r="B166" s="524">
        <f t="shared" si="5"/>
        <v>380057.01603415346</v>
      </c>
      <c r="C166" s="524"/>
      <c r="D166"/>
      <c r="E166" s="586"/>
    </row>
    <row r="167" spans="1:5">
      <c r="A167" s="513">
        <f t="shared" si="4"/>
        <v>48009</v>
      </c>
      <c r="B167" s="524">
        <f t="shared" si="5"/>
        <v>382057.01603415346</v>
      </c>
      <c r="C167" s="524"/>
      <c r="D167"/>
      <c r="E167" s="586"/>
    </row>
    <row r="168" spans="1:5">
      <c r="A168" s="513">
        <f t="shared" si="4"/>
        <v>48039</v>
      </c>
      <c r="B168" s="524">
        <f t="shared" si="5"/>
        <v>384057.01603415346</v>
      </c>
      <c r="C168" s="524"/>
      <c r="D168"/>
      <c r="E168" s="586"/>
    </row>
    <row r="169" spans="1:5">
      <c r="A169" s="513">
        <f t="shared" si="4"/>
        <v>48069</v>
      </c>
      <c r="B169" s="524">
        <f t="shared" si="5"/>
        <v>386057.01603415346</v>
      </c>
      <c r="C169" s="524"/>
      <c r="D169"/>
      <c r="E169" s="586"/>
    </row>
    <row r="170" spans="1:5">
      <c r="A170" s="513">
        <f t="shared" si="4"/>
        <v>48099</v>
      </c>
      <c r="B170" s="524">
        <f t="shared" si="5"/>
        <v>388057.01603415346</v>
      </c>
      <c r="C170" s="524"/>
      <c r="D170"/>
      <c r="E170" s="586"/>
    </row>
    <row r="171" spans="1:5">
      <c r="A171" s="513">
        <f t="shared" si="4"/>
        <v>48129</v>
      </c>
      <c r="B171" s="524">
        <f t="shared" si="5"/>
        <v>390057.01603415346</v>
      </c>
      <c r="C171" s="524"/>
      <c r="D171"/>
      <c r="E171" s="586"/>
    </row>
    <row r="172" spans="1:5">
      <c r="A172" s="513">
        <f t="shared" si="4"/>
        <v>48159</v>
      </c>
      <c r="B172" s="524">
        <f t="shared" si="5"/>
        <v>392057.01603415346</v>
      </c>
      <c r="C172" s="524"/>
      <c r="D172"/>
      <c r="E172" s="586"/>
    </row>
    <row r="173" spans="1:5">
      <c r="A173" s="513">
        <f t="shared" si="4"/>
        <v>48189</v>
      </c>
      <c r="B173" s="524">
        <f t="shared" si="5"/>
        <v>394057.01603415346</v>
      </c>
      <c r="C173" s="524"/>
      <c r="D173"/>
      <c r="E173" s="586"/>
    </row>
    <row r="174" spans="1:5">
      <c r="A174" s="513">
        <f t="shared" si="4"/>
        <v>48219</v>
      </c>
      <c r="B174" s="524">
        <f t="shared" si="5"/>
        <v>396057.01603415346</v>
      </c>
      <c r="C174" s="524">
        <f>B173*(1+$C$15)-B173</f>
        <v>14974.166609297856</v>
      </c>
      <c r="D174"/>
      <c r="E174" s="586"/>
    </row>
    <row r="175" spans="1:5">
      <c r="A175" s="513">
        <f t="shared" si="4"/>
        <v>48249</v>
      </c>
      <c r="B175" s="524">
        <f t="shared" si="5"/>
        <v>413031.18264345132</v>
      </c>
      <c r="C175" s="524"/>
      <c r="D175"/>
      <c r="E175" s="586"/>
    </row>
    <row r="176" spans="1:5">
      <c r="A176" s="513">
        <f t="shared" si="4"/>
        <v>48279</v>
      </c>
      <c r="B176" s="524">
        <f t="shared" si="5"/>
        <v>415031.18264345132</v>
      </c>
      <c r="C176" s="524"/>
      <c r="D176"/>
      <c r="E176" s="586"/>
    </row>
    <row r="177" spans="1:5">
      <c r="A177" s="513">
        <f t="shared" si="4"/>
        <v>48309</v>
      </c>
      <c r="B177" s="524">
        <f t="shared" si="5"/>
        <v>417031.18264345132</v>
      </c>
      <c r="C177" s="524"/>
      <c r="D177"/>
      <c r="E177" s="586"/>
    </row>
    <row r="178" spans="1:5">
      <c r="A178" s="513">
        <f t="shared" si="4"/>
        <v>48339</v>
      </c>
      <c r="B178" s="524">
        <f t="shared" si="5"/>
        <v>419031.18264345132</v>
      </c>
      <c r="C178" s="524"/>
      <c r="D178"/>
      <c r="E178" s="586"/>
    </row>
    <row r="179" spans="1:5">
      <c r="A179" s="513">
        <f t="shared" si="4"/>
        <v>48369</v>
      </c>
      <c r="B179" s="524">
        <f t="shared" si="5"/>
        <v>421031.18264345132</v>
      </c>
      <c r="C179" s="524"/>
      <c r="D179"/>
      <c r="E179" s="586"/>
    </row>
    <row r="180" spans="1:5">
      <c r="A180" s="513">
        <f t="shared" si="4"/>
        <v>48399</v>
      </c>
      <c r="B180" s="524">
        <f t="shared" si="5"/>
        <v>423031.18264345132</v>
      </c>
      <c r="C180" s="524"/>
      <c r="D180"/>
      <c r="E180" s="586"/>
    </row>
    <row r="181" spans="1:5">
      <c r="A181" s="513">
        <f t="shared" si="4"/>
        <v>48429</v>
      </c>
      <c r="B181" s="524">
        <f t="shared" si="5"/>
        <v>425031.18264345132</v>
      </c>
      <c r="C181" s="524"/>
      <c r="D181"/>
      <c r="E181" s="586"/>
    </row>
    <row r="182" spans="1:5">
      <c r="A182" s="513">
        <f t="shared" si="4"/>
        <v>48459</v>
      </c>
      <c r="B182" s="524">
        <f t="shared" si="5"/>
        <v>427031.18264345132</v>
      </c>
      <c r="C182" s="524"/>
      <c r="D182"/>
      <c r="E182" s="586"/>
    </row>
    <row r="183" spans="1:5">
      <c r="A183" s="513">
        <f t="shared" si="4"/>
        <v>48489</v>
      </c>
      <c r="B183" s="524">
        <f t="shared" si="5"/>
        <v>429031.18264345132</v>
      </c>
      <c r="C183" s="524"/>
      <c r="D183"/>
      <c r="E183" s="586"/>
    </row>
    <row r="184" spans="1:5">
      <c r="A184" s="513">
        <f t="shared" si="4"/>
        <v>48519</v>
      </c>
      <c r="B184" s="524">
        <f t="shared" si="5"/>
        <v>431031.18264345132</v>
      </c>
      <c r="C184" s="524"/>
      <c r="D184"/>
      <c r="E184" s="586"/>
    </row>
    <row r="185" spans="1:5">
      <c r="A185" s="513">
        <f t="shared" si="4"/>
        <v>48549</v>
      </c>
      <c r="B185" s="524">
        <f t="shared" si="5"/>
        <v>433031.18264345132</v>
      </c>
      <c r="C185" s="524"/>
      <c r="D185"/>
      <c r="E185" s="586"/>
    </row>
    <row r="186" spans="1:5">
      <c r="A186" s="513">
        <f>A185+40</f>
        <v>48589</v>
      </c>
      <c r="B186" s="524">
        <f t="shared" si="5"/>
        <v>435031.18264345132</v>
      </c>
      <c r="C186" s="524">
        <f>B185*(1+$C$15)-B185</f>
        <v>16455.184940451174</v>
      </c>
      <c r="D186"/>
      <c r="E186" s="586"/>
    </row>
    <row r="187" spans="1:5">
      <c r="A187" s="513">
        <f t="shared" si="4"/>
        <v>48619</v>
      </c>
      <c r="B187" s="524">
        <f t="shared" si="5"/>
        <v>453486.36758390249</v>
      </c>
      <c r="C187" s="524"/>
      <c r="D187"/>
      <c r="E187" s="586"/>
    </row>
    <row r="188" spans="1:5">
      <c r="A188" s="513">
        <f>A187+28</f>
        <v>48647</v>
      </c>
      <c r="B188" s="524">
        <f t="shared" si="5"/>
        <v>455486.36758390249</v>
      </c>
      <c r="C188" s="524"/>
      <c r="D188"/>
      <c r="E188" s="586"/>
    </row>
    <row r="189" spans="1:5">
      <c r="A189" s="513">
        <f t="shared" si="4"/>
        <v>48677</v>
      </c>
      <c r="B189" s="524">
        <f t="shared" si="5"/>
        <v>457486.36758390249</v>
      </c>
      <c r="C189" s="524"/>
      <c r="D189"/>
      <c r="E189" s="586"/>
    </row>
    <row r="190" spans="1:5">
      <c r="A190" s="513">
        <f t="shared" si="4"/>
        <v>48707</v>
      </c>
      <c r="B190" s="524">
        <f t="shared" si="5"/>
        <v>459486.36758390249</v>
      </c>
      <c r="C190" s="524"/>
      <c r="D190"/>
      <c r="E190" s="586"/>
    </row>
    <row r="191" spans="1:5">
      <c r="A191" s="513">
        <f t="shared" si="4"/>
        <v>48737</v>
      </c>
      <c r="B191" s="524">
        <f t="shared" si="5"/>
        <v>461486.36758390249</v>
      </c>
      <c r="C191" s="524"/>
      <c r="D191"/>
      <c r="E191" s="586"/>
    </row>
    <row r="192" spans="1:5">
      <c r="A192" s="513">
        <f t="shared" si="4"/>
        <v>48767</v>
      </c>
      <c r="B192" s="524">
        <f t="shared" si="5"/>
        <v>463486.36758390249</v>
      </c>
      <c r="C192" s="524"/>
      <c r="D192"/>
      <c r="E192" s="586"/>
    </row>
    <row r="193" spans="1:5">
      <c r="A193" s="513">
        <f t="shared" si="4"/>
        <v>48797</v>
      </c>
      <c r="B193" s="524">
        <f t="shared" si="5"/>
        <v>465486.36758390249</v>
      </c>
      <c r="C193" s="524"/>
      <c r="D193"/>
      <c r="E193" s="586"/>
    </row>
    <row r="194" spans="1:5">
      <c r="A194" s="513">
        <f t="shared" si="4"/>
        <v>48827</v>
      </c>
      <c r="B194" s="524">
        <f t="shared" si="5"/>
        <v>467486.36758390249</v>
      </c>
      <c r="C194" s="524"/>
      <c r="D194"/>
      <c r="E194" s="586"/>
    </row>
    <row r="195" spans="1:5">
      <c r="A195" s="513">
        <f t="shared" si="4"/>
        <v>48857</v>
      </c>
      <c r="B195" s="524">
        <f t="shared" si="5"/>
        <v>469486.36758390249</v>
      </c>
      <c r="C195" s="524"/>
      <c r="D195"/>
      <c r="E195" s="586"/>
    </row>
    <row r="196" spans="1:5">
      <c r="A196" s="513">
        <f t="shared" si="4"/>
        <v>48887</v>
      </c>
      <c r="B196" s="524">
        <f t="shared" si="5"/>
        <v>471486.36758390249</v>
      </c>
      <c r="C196" s="524"/>
      <c r="D196"/>
      <c r="E196" s="586"/>
    </row>
    <row r="197" spans="1:5">
      <c r="A197" s="513">
        <f t="shared" si="4"/>
        <v>48917</v>
      </c>
      <c r="B197" s="524">
        <f t="shared" si="5"/>
        <v>473486.36758390249</v>
      </c>
      <c r="C197" s="524"/>
      <c r="D197"/>
      <c r="E197" s="586"/>
    </row>
    <row r="198" spans="1:5">
      <c r="A198" s="513">
        <f t="shared" si="4"/>
        <v>48947</v>
      </c>
      <c r="B198" s="524">
        <f t="shared" si="5"/>
        <v>475486.36758390249</v>
      </c>
      <c r="C198" s="524">
        <f>B197*(1+$C$15)-B197</f>
        <v>17992.481968188309</v>
      </c>
      <c r="D198"/>
      <c r="E198" s="586"/>
    </row>
    <row r="199" spans="1:5">
      <c r="A199" s="513">
        <f t="shared" si="4"/>
        <v>48977</v>
      </c>
      <c r="B199" s="524">
        <f t="shared" si="5"/>
        <v>495478.8495520908</v>
      </c>
      <c r="C199" s="524"/>
      <c r="D199"/>
      <c r="E199" s="586"/>
    </row>
    <row r="200" spans="1:5">
      <c r="A200" s="513">
        <f t="shared" si="4"/>
        <v>49007</v>
      </c>
      <c r="B200" s="524">
        <f t="shared" si="5"/>
        <v>497478.8495520908</v>
      </c>
      <c r="C200" s="524"/>
      <c r="D200"/>
      <c r="E200" s="586"/>
    </row>
    <row r="201" spans="1:5">
      <c r="A201" s="513">
        <f t="shared" si="4"/>
        <v>49037</v>
      </c>
      <c r="B201" s="524">
        <f t="shared" si="5"/>
        <v>499478.8495520908</v>
      </c>
      <c r="C201" s="524"/>
      <c r="D201"/>
      <c r="E201" s="586"/>
    </row>
    <row r="202" spans="1:5">
      <c r="A202" s="513">
        <f t="shared" si="4"/>
        <v>49067</v>
      </c>
      <c r="B202" s="524">
        <f t="shared" si="5"/>
        <v>501478.8495520908</v>
      </c>
      <c r="C202" s="524"/>
      <c r="D202"/>
      <c r="E202" s="586"/>
    </row>
    <row r="203" spans="1:5">
      <c r="A203" s="513">
        <f t="shared" si="4"/>
        <v>49097</v>
      </c>
      <c r="B203" s="524">
        <f t="shared" si="5"/>
        <v>503478.8495520908</v>
      </c>
      <c r="C203" s="524"/>
      <c r="D203"/>
      <c r="E203" s="586"/>
    </row>
    <row r="204" spans="1:5">
      <c r="A204" s="513">
        <f t="shared" si="4"/>
        <v>49127</v>
      </c>
      <c r="B204" s="524">
        <f t="shared" si="5"/>
        <v>505478.8495520908</v>
      </c>
      <c r="C204" s="524"/>
      <c r="D204"/>
      <c r="E204" s="586"/>
    </row>
    <row r="205" spans="1:5">
      <c r="A205" s="513">
        <f>A204+31</f>
        <v>49158</v>
      </c>
      <c r="B205" s="524">
        <f t="shared" si="5"/>
        <v>507478.8495520908</v>
      </c>
      <c r="C205" s="524"/>
      <c r="D205"/>
      <c r="E205" s="586"/>
    </row>
    <row r="206" spans="1:5">
      <c r="A206" s="513">
        <f t="shared" si="4"/>
        <v>49188</v>
      </c>
      <c r="B206" s="524">
        <f t="shared" si="5"/>
        <v>509478.8495520908</v>
      </c>
      <c r="C206" s="524"/>
      <c r="D206"/>
      <c r="E206" s="586"/>
    </row>
    <row r="207" spans="1:5">
      <c r="A207" s="513">
        <f>A206+31</f>
        <v>49219</v>
      </c>
      <c r="B207" s="524">
        <f t="shared" si="5"/>
        <v>511478.8495520908</v>
      </c>
      <c r="C207" s="524"/>
      <c r="D207"/>
      <c r="E207" s="586"/>
    </row>
    <row r="208" spans="1:5">
      <c r="A208" s="513">
        <f t="shared" si="4"/>
        <v>49249</v>
      </c>
      <c r="B208" s="524">
        <f t="shared" si="5"/>
        <v>513478.8495520908</v>
      </c>
      <c r="C208" s="524"/>
      <c r="D208"/>
      <c r="E208" s="586"/>
    </row>
    <row r="209" spans="1:5">
      <c r="A209" s="513">
        <f t="shared" si="4"/>
        <v>49279</v>
      </c>
      <c r="B209" s="524">
        <f t="shared" si="5"/>
        <v>515478.8495520908</v>
      </c>
      <c r="C209" s="524"/>
      <c r="D209"/>
      <c r="E209" s="586"/>
    </row>
    <row r="210" spans="1:5">
      <c r="A210" s="513">
        <f>A209+40</f>
        <v>49319</v>
      </c>
      <c r="B210" s="524">
        <f t="shared" si="5"/>
        <v>517478.8495520908</v>
      </c>
      <c r="C210" s="524">
        <f>B209*(1+$C$15)-B209</f>
        <v>19588.196282979508</v>
      </c>
      <c r="D210"/>
      <c r="E210" s="586"/>
    </row>
    <row r="211" spans="1:5">
      <c r="A211" s="513">
        <f t="shared" ref="A211:A274" si="6">A210+30</f>
        <v>49349</v>
      </c>
      <c r="B211" s="524">
        <f t="shared" si="5"/>
        <v>539067.04583507031</v>
      </c>
      <c r="C211" s="524"/>
      <c r="D211"/>
      <c r="E211" s="586"/>
    </row>
    <row r="212" spans="1:5">
      <c r="A212" s="513">
        <f t="shared" si="6"/>
        <v>49379</v>
      </c>
      <c r="B212" s="524">
        <f t="shared" ref="B212:B275" si="7">B211+C211+$C$13</f>
        <v>541067.04583507031</v>
      </c>
      <c r="C212" s="524"/>
      <c r="D212"/>
      <c r="E212" s="586"/>
    </row>
    <row r="213" spans="1:5">
      <c r="A213" s="513">
        <f t="shared" si="6"/>
        <v>49409</v>
      </c>
      <c r="B213" s="524">
        <f t="shared" si="7"/>
        <v>543067.04583507031</v>
      </c>
      <c r="C213" s="524"/>
      <c r="D213"/>
      <c r="E213" s="586"/>
    </row>
    <row r="214" spans="1:5">
      <c r="A214" s="513">
        <f t="shared" si="6"/>
        <v>49439</v>
      </c>
      <c r="B214" s="524">
        <f t="shared" si="7"/>
        <v>545067.04583507031</v>
      </c>
      <c r="C214" s="524"/>
      <c r="D214"/>
      <c r="E214" s="586"/>
    </row>
    <row r="215" spans="1:5">
      <c r="A215" s="513">
        <f t="shared" si="6"/>
        <v>49469</v>
      </c>
      <c r="B215" s="524">
        <f t="shared" si="7"/>
        <v>547067.04583507031</v>
      </c>
      <c r="C215" s="524"/>
      <c r="D215"/>
      <c r="E215" s="586"/>
    </row>
    <row r="216" spans="1:5">
      <c r="A216" s="513">
        <f t="shared" si="6"/>
        <v>49499</v>
      </c>
      <c r="B216" s="524">
        <f t="shared" si="7"/>
        <v>549067.04583507031</v>
      </c>
      <c r="C216" s="524"/>
      <c r="D216"/>
      <c r="E216" s="586"/>
    </row>
    <row r="217" spans="1:5">
      <c r="A217" s="513">
        <f t="shared" si="6"/>
        <v>49529</v>
      </c>
      <c r="B217" s="524">
        <f t="shared" si="7"/>
        <v>551067.04583507031</v>
      </c>
      <c r="C217" s="524"/>
      <c r="D217"/>
      <c r="E217" s="586"/>
    </row>
    <row r="218" spans="1:5">
      <c r="A218" s="513">
        <f t="shared" si="6"/>
        <v>49559</v>
      </c>
      <c r="B218" s="524">
        <f t="shared" si="7"/>
        <v>553067.04583507031</v>
      </c>
      <c r="C218" s="524"/>
      <c r="D218"/>
      <c r="E218" s="586"/>
    </row>
    <row r="219" spans="1:5">
      <c r="A219" s="513">
        <f t="shared" si="6"/>
        <v>49589</v>
      </c>
      <c r="B219" s="524">
        <f t="shared" si="7"/>
        <v>555067.04583507031</v>
      </c>
      <c r="C219" s="524"/>
      <c r="D219"/>
      <c r="E219" s="586"/>
    </row>
    <row r="220" spans="1:5">
      <c r="A220" s="513">
        <f t="shared" si="6"/>
        <v>49619</v>
      </c>
      <c r="B220" s="524">
        <f t="shared" si="7"/>
        <v>557067.04583507031</v>
      </c>
      <c r="C220" s="524"/>
      <c r="D220"/>
      <c r="E220" s="586"/>
    </row>
    <row r="221" spans="1:5">
      <c r="A221" s="513">
        <f>A220+35</f>
        <v>49654</v>
      </c>
      <c r="B221" s="524">
        <f t="shared" si="7"/>
        <v>559067.04583507031</v>
      </c>
      <c r="C221" s="524"/>
      <c r="D221"/>
      <c r="E221" s="586"/>
    </row>
    <row r="222" spans="1:5">
      <c r="A222" s="513">
        <f t="shared" si="6"/>
        <v>49684</v>
      </c>
      <c r="B222" s="524">
        <f t="shared" si="7"/>
        <v>561067.04583507031</v>
      </c>
      <c r="C222" s="524">
        <f>B221*(1+$C$15)-B221</f>
        <v>21244.547741732677</v>
      </c>
      <c r="D222"/>
      <c r="E222" s="586"/>
    </row>
    <row r="223" spans="1:5">
      <c r="A223" s="513">
        <f t="shared" si="6"/>
        <v>49714</v>
      </c>
      <c r="B223" s="524">
        <f t="shared" si="7"/>
        <v>584311.59357680299</v>
      </c>
      <c r="C223" s="524"/>
      <c r="D223"/>
      <c r="E223" s="586"/>
    </row>
    <row r="224" spans="1:5">
      <c r="A224" s="513">
        <f t="shared" si="6"/>
        <v>49744</v>
      </c>
      <c r="B224" s="524">
        <f t="shared" si="7"/>
        <v>586311.59357680299</v>
      </c>
      <c r="C224" s="524"/>
      <c r="D224"/>
      <c r="E224" s="586"/>
    </row>
    <row r="225" spans="1:5">
      <c r="A225" s="513">
        <f t="shared" si="6"/>
        <v>49774</v>
      </c>
      <c r="B225" s="524">
        <f t="shared" si="7"/>
        <v>588311.59357680299</v>
      </c>
      <c r="C225" s="524"/>
      <c r="D225"/>
      <c r="E225" s="586"/>
    </row>
    <row r="226" spans="1:5">
      <c r="A226" s="513">
        <f t="shared" si="6"/>
        <v>49804</v>
      </c>
      <c r="B226" s="524">
        <f t="shared" si="7"/>
        <v>590311.59357680299</v>
      </c>
      <c r="C226" s="524"/>
      <c r="D226"/>
      <c r="E226" s="586"/>
    </row>
    <row r="227" spans="1:5">
      <c r="A227" s="513">
        <f t="shared" si="6"/>
        <v>49834</v>
      </c>
      <c r="B227" s="524">
        <f t="shared" si="7"/>
        <v>592311.59357680299</v>
      </c>
      <c r="C227" s="524"/>
      <c r="D227"/>
      <c r="E227" s="586"/>
    </row>
    <row r="228" spans="1:5">
      <c r="A228" s="513">
        <f t="shared" si="6"/>
        <v>49864</v>
      </c>
      <c r="B228" s="524">
        <f t="shared" si="7"/>
        <v>594311.59357680299</v>
      </c>
      <c r="C228" s="524"/>
      <c r="D228"/>
      <c r="E228" s="586"/>
    </row>
    <row r="229" spans="1:5">
      <c r="A229" s="513">
        <f t="shared" si="6"/>
        <v>49894</v>
      </c>
      <c r="B229" s="524">
        <f t="shared" si="7"/>
        <v>596311.59357680299</v>
      </c>
      <c r="C229" s="524"/>
      <c r="D229"/>
      <c r="E229" s="586"/>
    </row>
    <row r="230" spans="1:5">
      <c r="A230" s="513">
        <f t="shared" si="6"/>
        <v>49924</v>
      </c>
      <c r="B230" s="524">
        <f t="shared" si="7"/>
        <v>598311.59357680299</v>
      </c>
      <c r="C230" s="524"/>
      <c r="D230"/>
      <c r="E230" s="586"/>
    </row>
    <row r="231" spans="1:5">
      <c r="A231" s="513">
        <f t="shared" si="6"/>
        <v>49954</v>
      </c>
      <c r="B231" s="524">
        <f t="shared" si="7"/>
        <v>600311.59357680299</v>
      </c>
      <c r="C231" s="524"/>
      <c r="D231"/>
      <c r="E231" s="586"/>
    </row>
    <row r="232" spans="1:5">
      <c r="A232" s="513">
        <f t="shared" si="6"/>
        <v>49984</v>
      </c>
      <c r="B232" s="524">
        <f t="shared" si="7"/>
        <v>602311.59357680299</v>
      </c>
      <c r="C232" s="524"/>
      <c r="D232"/>
      <c r="E232" s="586"/>
    </row>
    <row r="233" spans="1:5">
      <c r="A233" s="513">
        <f t="shared" si="6"/>
        <v>50014</v>
      </c>
      <c r="B233" s="524">
        <f t="shared" si="7"/>
        <v>604311.59357680299</v>
      </c>
      <c r="C233" s="524"/>
      <c r="D233"/>
      <c r="E233" s="586"/>
    </row>
    <row r="234" spans="1:5">
      <c r="A234" s="513">
        <f>A233+36</f>
        <v>50050</v>
      </c>
      <c r="B234" s="524">
        <f t="shared" si="7"/>
        <v>606311.59357680299</v>
      </c>
      <c r="C234" s="524">
        <f>B233*(1+$C$15)-B233</f>
        <v>22963.840555918519</v>
      </c>
      <c r="D234"/>
      <c r="E234" s="586"/>
    </row>
    <row r="235" spans="1:5">
      <c r="A235" s="513">
        <f t="shared" si="6"/>
        <v>50080</v>
      </c>
      <c r="B235" s="524">
        <f t="shared" si="7"/>
        <v>631275.43413272151</v>
      </c>
      <c r="C235" s="524"/>
      <c r="D235"/>
      <c r="E235" s="586"/>
    </row>
    <row r="236" spans="1:5">
      <c r="A236" s="513">
        <f t="shared" si="6"/>
        <v>50110</v>
      </c>
      <c r="B236" s="524">
        <f t="shared" si="7"/>
        <v>633275.43413272151</v>
      </c>
      <c r="C236" s="524"/>
      <c r="D236"/>
      <c r="E236" s="586"/>
    </row>
    <row r="237" spans="1:5">
      <c r="A237" s="513">
        <f t="shared" si="6"/>
        <v>50140</v>
      </c>
      <c r="B237" s="524">
        <f t="shared" si="7"/>
        <v>635275.43413272151</v>
      </c>
      <c r="C237" s="524"/>
      <c r="D237"/>
      <c r="E237" s="586"/>
    </row>
    <row r="238" spans="1:5">
      <c r="A238" s="513">
        <f t="shared" si="6"/>
        <v>50170</v>
      </c>
      <c r="B238" s="524">
        <f t="shared" si="7"/>
        <v>637275.43413272151</v>
      </c>
      <c r="C238" s="524"/>
      <c r="D238"/>
      <c r="E238" s="586"/>
    </row>
    <row r="239" spans="1:5">
      <c r="A239" s="513">
        <f t="shared" si="6"/>
        <v>50200</v>
      </c>
      <c r="B239" s="524">
        <f t="shared" si="7"/>
        <v>639275.43413272151</v>
      </c>
      <c r="C239" s="524"/>
      <c r="D239"/>
      <c r="E239" s="586"/>
    </row>
    <row r="240" spans="1:5">
      <c r="A240" s="513">
        <f t="shared" si="6"/>
        <v>50230</v>
      </c>
      <c r="B240" s="524">
        <f t="shared" si="7"/>
        <v>641275.43413272151</v>
      </c>
      <c r="C240" s="524"/>
      <c r="D240"/>
      <c r="E240" s="586"/>
    </row>
    <row r="241" spans="1:5">
      <c r="A241" s="513">
        <f t="shared" si="6"/>
        <v>50260</v>
      </c>
      <c r="B241" s="524">
        <f t="shared" si="7"/>
        <v>643275.43413272151</v>
      </c>
      <c r="C241" s="524"/>
      <c r="D241"/>
      <c r="E241" s="586"/>
    </row>
    <row r="242" spans="1:5">
      <c r="A242" s="513">
        <f t="shared" si="6"/>
        <v>50290</v>
      </c>
      <c r="B242" s="524">
        <f t="shared" si="7"/>
        <v>645275.43413272151</v>
      </c>
      <c r="C242" s="524"/>
      <c r="D242"/>
      <c r="E242" s="586"/>
    </row>
    <row r="243" spans="1:5">
      <c r="A243" s="513">
        <f t="shared" si="6"/>
        <v>50320</v>
      </c>
      <c r="B243" s="524">
        <f t="shared" si="7"/>
        <v>647275.43413272151</v>
      </c>
      <c r="C243" s="524"/>
      <c r="D243"/>
      <c r="E243" s="586"/>
    </row>
    <row r="244" spans="1:5">
      <c r="A244" s="513">
        <f t="shared" si="6"/>
        <v>50350</v>
      </c>
      <c r="B244" s="524">
        <f t="shared" si="7"/>
        <v>649275.43413272151</v>
      </c>
      <c r="C244" s="524"/>
      <c r="D244"/>
      <c r="E244" s="586"/>
    </row>
    <row r="245" spans="1:5">
      <c r="A245" s="513">
        <f>A244+36</f>
        <v>50386</v>
      </c>
      <c r="B245" s="524">
        <f t="shared" si="7"/>
        <v>651275.43413272151</v>
      </c>
      <c r="C245" s="524"/>
      <c r="D245"/>
      <c r="E245" s="586"/>
    </row>
    <row r="246" spans="1:5">
      <c r="A246" s="513">
        <f t="shared" si="6"/>
        <v>50416</v>
      </c>
      <c r="B246" s="524">
        <f t="shared" si="7"/>
        <v>653275.43413272151</v>
      </c>
      <c r="C246" s="524">
        <f>B245*(1+$C$15)-B245</f>
        <v>24748.466497043497</v>
      </c>
      <c r="D246"/>
      <c r="E246" s="586"/>
    </row>
    <row r="247" spans="1:5">
      <c r="A247" s="513">
        <f t="shared" si="6"/>
        <v>50446</v>
      </c>
      <c r="B247" s="524">
        <f t="shared" si="7"/>
        <v>680023.900629765</v>
      </c>
      <c r="C247" s="524"/>
      <c r="D247"/>
      <c r="E247" s="586"/>
    </row>
    <row r="248" spans="1:5">
      <c r="A248" s="513">
        <f t="shared" si="6"/>
        <v>50476</v>
      </c>
      <c r="B248" s="524">
        <f t="shared" si="7"/>
        <v>682023.900629765</v>
      </c>
      <c r="C248" s="524"/>
      <c r="D248"/>
      <c r="E248" s="586"/>
    </row>
    <row r="249" spans="1:5">
      <c r="A249" s="513">
        <f t="shared" si="6"/>
        <v>50506</v>
      </c>
      <c r="B249" s="524">
        <f t="shared" si="7"/>
        <v>684023.900629765</v>
      </c>
      <c r="C249" s="524"/>
      <c r="D249"/>
      <c r="E249" s="586"/>
    </row>
    <row r="250" spans="1:5">
      <c r="A250" s="513">
        <f t="shared" si="6"/>
        <v>50536</v>
      </c>
      <c r="B250" s="524">
        <f t="shared" si="7"/>
        <v>686023.900629765</v>
      </c>
      <c r="C250" s="524"/>
      <c r="D250"/>
      <c r="E250" s="586"/>
    </row>
    <row r="251" spans="1:5">
      <c r="A251" s="513">
        <f t="shared" si="6"/>
        <v>50566</v>
      </c>
      <c r="B251" s="524">
        <f t="shared" si="7"/>
        <v>688023.900629765</v>
      </c>
      <c r="C251" s="524"/>
      <c r="D251"/>
      <c r="E251" s="586"/>
    </row>
    <row r="252" spans="1:5">
      <c r="A252" s="513">
        <f t="shared" si="6"/>
        <v>50596</v>
      </c>
      <c r="B252" s="524">
        <f t="shared" si="7"/>
        <v>690023.900629765</v>
      </c>
      <c r="C252" s="524"/>
      <c r="D252"/>
      <c r="E252" s="586"/>
    </row>
    <row r="253" spans="1:5">
      <c r="A253" s="513">
        <f t="shared" si="6"/>
        <v>50626</v>
      </c>
      <c r="B253" s="524">
        <f t="shared" si="7"/>
        <v>692023.900629765</v>
      </c>
      <c r="C253" s="524"/>
      <c r="D253"/>
      <c r="E253" s="586"/>
    </row>
    <row r="254" spans="1:5">
      <c r="A254" s="513">
        <f t="shared" si="6"/>
        <v>50656</v>
      </c>
      <c r="B254" s="524">
        <f t="shared" si="7"/>
        <v>694023.900629765</v>
      </c>
      <c r="C254" s="524"/>
      <c r="D254"/>
      <c r="E254" s="586"/>
    </row>
    <row r="255" spans="1:5">
      <c r="A255" s="513">
        <f t="shared" si="6"/>
        <v>50686</v>
      </c>
      <c r="B255" s="524">
        <f t="shared" si="7"/>
        <v>696023.900629765</v>
      </c>
      <c r="C255" s="524"/>
      <c r="D255"/>
      <c r="E255" s="586"/>
    </row>
    <row r="256" spans="1:5">
      <c r="A256" s="513">
        <f t="shared" si="6"/>
        <v>50716</v>
      </c>
      <c r="B256" s="524">
        <f t="shared" si="7"/>
        <v>698023.900629765</v>
      </c>
      <c r="C256" s="524"/>
      <c r="D256"/>
      <c r="E256" s="586"/>
    </row>
    <row r="257" spans="1:5">
      <c r="A257" s="513">
        <f>A256+36</f>
        <v>50752</v>
      </c>
      <c r="B257" s="524">
        <f t="shared" si="7"/>
        <v>700023.900629765</v>
      </c>
      <c r="C257" s="524"/>
      <c r="D257"/>
      <c r="E257" s="586"/>
    </row>
    <row r="258" spans="1:5">
      <c r="A258" s="513">
        <f t="shared" si="6"/>
        <v>50782</v>
      </c>
      <c r="B258" s="524">
        <f t="shared" si="7"/>
        <v>702023.900629765</v>
      </c>
      <c r="C258" s="524">
        <f>B257*(1+$C$15)-B257</f>
        <v>26600.908223931096</v>
      </c>
      <c r="D258"/>
      <c r="E258" s="586"/>
    </row>
    <row r="259" spans="1:5">
      <c r="A259" s="513">
        <f t="shared" si="6"/>
        <v>50812</v>
      </c>
      <c r="B259" s="524">
        <f t="shared" si="7"/>
        <v>730624.8088536961</v>
      </c>
      <c r="C259" s="524"/>
      <c r="D259"/>
      <c r="E259" s="586"/>
    </row>
    <row r="260" spans="1:5">
      <c r="A260" s="513">
        <f t="shared" si="6"/>
        <v>50842</v>
      </c>
      <c r="B260" s="524">
        <f t="shared" si="7"/>
        <v>732624.8088536961</v>
      </c>
      <c r="C260" s="524"/>
      <c r="D260"/>
      <c r="E260" s="586"/>
    </row>
    <row r="261" spans="1:5">
      <c r="A261" s="513">
        <f t="shared" si="6"/>
        <v>50872</v>
      </c>
      <c r="B261" s="524">
        <f t="shared" si="7"/>
        <v>734624.8088536961</v>
      </c>
      <c r="C261" s="524"/>
      <c r="D261"/>
      <c r="E261" s="586"/>
    </row>
    <row r="262" spans="1:5">
      <c r="A262" s="513">
        <f t="shared" si="6"/>
        <v>50902</v>
      </c>
      <c r="B262" s="524">
        <f t="shared" si="7"/>
        <v>736624.8088536961</v>
      </c>
      <c r="C262" s="524"/>
      <c r="D262"/>
      <c r="E262" s="586"/>
    </row>
    <row r="263" spans="1:5">
      <c r="A263" s="513">
        <f t="shared" si="6"/>
        <v>50932</v>
      </c>
      <c r="B263" s="524">
        <f t="shared" si="7"/>
        <v>738624.8088536961</v>
      </c>
      <c r="C263" s="524"/>
      <c r="D263"/>
      <c r="E263" s="586"/>
    </row>
    <row r="264" spans="1:5">
      <c r="A264" s="513">
        <f t="shared" si="6"/>
        <v>50962</v>
      </c>
      <c r="B264" s="524">
        <f t="shared" si="7"/>
        <v>740624.8088536961</v>
      </c>
      <c r="C264" s="524"/>
      <c r="D264"/>
      <c r="E264" s="586"/>
    </row>
    <row r="265" spans="1:5">
      <c r="A265" s="513">
        <f t="shared" si="6"/>
        <v>50992</v>
      </c>
      <c r="B265" s="524">
        <f t="shared" si="7"/>
        <v>742624.8088536961</v>
      </c>
      <c r="C265" s="524"/>
      <c r="D265"/>
      <c r="E265" s="586"/>
    </row>
    <row r="266" spans="1:5">
      <c r="A266" s="513">
        <f t="shared" si="6"/>
        <v>51022</v>
      </c>
      <c r="B266" s="524">
        <f t="shared" si="7"/>
        <v>744624.8088536961</v>
      </c>
      <c r="C266" s="524"/>
      <c r="D266"/>
      <c r="E266" s="586"/>
    </row>
    <row r="267" spans="1:5">
      <c r="A267" s="513">
        <f t="shared" si="6"/>
        <v>51052</v>
      </c>
      <c r="B267" s="524">
        <f t="shared" si="7"/>
        <v>746624.8088536961</v>
      </c>
      <c r="C267" s="524"/>
      <c r="D267"/>
      <c r="E267" s="586"/>
    </row>
    <row r="268" spans="1:5">
      <c r="A268" s="513">
        <f t="shared" si="6"/>
        <v>51082</v>
      </c>
      <c r="B268" s="524">
        <f t="shared" si="7"/>
        <v>748624.8088536961</v>
      </c>
      <c r="C268" s="524"/>
      <c r="D268"/>
      <c r="E268" s="586"/>
    </row>
    <row r="269" spans="1:5">
      <c r="A269" s="513">
        <f>A268+34</f>
        <v>51116</v>
      </c>
      <c r="B269" s="524">
        <f t="shared" si="7"/>
        <v>750624.8088536961</v>
      </c>
      <c r="C269" s="524"/>
      <c r="D269"/>
      <c r="E269" s="586"/>
    </row>
    <row r="270" spans="1:5">
      <c r="A270" s="513">
        <f t="shared" si="6"/>
        <v>51146</v>
      </c>
      <c r="B270" s="524">
        <f t="shared" si="7"/>
        <v>752624.8088536961</v>
      </c>
      <c r="C270" s="524">
        <f>B269*(1+$C$15)-B269</f>
        <v>28523.742736440501</v>
      </c>
      <c r="D270"/>
      <c r="E270" s="586"/>
    </row>
    <row r="271" spans="1:5">
      <c r="A271" s="513">
        <f t="shared" si="6"/>
        <v>51176</v>
      </c>
      <c r="B271" s="524">
        <f t="shared" si="7"/>
        <v>783148.5515901366</v>
      </c>
      <c r="C271" s="524"/>
      <c r="D271"/>
      <c r="E271" s="586"/>
    </row>
    <row r="272" spans="1:5">
      <c r="A272" s="513">
        <f t="shared" si="6"/>
        <v>51206</v>
      </c>
      <c r="B272" s="524">
        <f t="shared" si="7"/>
        <v>785148.5515901366</v>
      </c>
      <c r="C272" s="524"/>
      <c r="D272"/>
      <c r="E272" s="586"/>
    </row>
    <row r="273" spans="1:5">
      <c r="A273" s="513">
        <f t="shared" si="6"/>
        <v>51236</v>
      </c>
      <c r="B273" s="524">
        <f t="shared" si="7"/>
        <v>787148.5515901366</v>
      </c>
      <c r="C273" s="524"/>
      <c r="D273"/>
      <c r="E273" s="586"/>
    </row>
    <row r="274" spans="1:5">
      <c r="A274" s="513">
        <f t="shared" si="6"/>
        <v>51266</v>
      </c>
      <c r="B274" s="524">
        <f t="shared" si="7"/>
        <v>789148.5515901366</v>
      </c>
      <c r="C274" s="524"/>
      <c r="D274"/>
      <c r="E274" s="586"/>
    </row>
    <row r="275" spans="1:5">
      <c r="A275" s="513">
        <f t="shared" ref="A275:A338" si="8">A274+30</f>
        <v>51296</v>
      </c>
      <c r="B275" s="524">
        <f t="shared" si="7"/>
        <v>791148.5515901366</v>
      </c>
      <c r="C275" s="524"/>
      <c r="D275"/>
      <c r="E275" s="586"/>
    </row>
    <row r="276" spans="1:5">
      <c r="A276" s="513">
        <f t="shared" si="8"/>
        <v>51326</v>
      </c>
      <c r="B276" s="524">
        <f t="shared" ref="B276:B339" si="9">B275+C275+$C$13</f>
        <v>793148.5515901366</v>
      </c>
      <c r="C276" s="524"/>
      <c r="D276"/>
      <c r="E276" s="586"/>
    </row>
    <row r="277" spans="1:5">
      <c r="A277" s="513">
        <f t="shared" si="8"/>
        <v>51356</v>
      </c>
      <c r="B277" s="524">
        <f t="shared" si="9"/>
        <v>795148.5515901366</v>
      </c>
      <c r="C277" s="524"/>
      <c r="D277"/>
      <c r="E277" s="586"/>
    </row>
    <row r="278" spans="1:5">
      <c r="A278" s="513">
        <f t="shared" si="8"/>
        <v>51386</v>
      </c>
      <c r="B278" s="524">
        <f t="shared" si="9"/>
        <v>797148.5515901366</v>
      </c>
      <c r="C278" s="524"/>
      <c r="D278"/>
      <c r="E278" s="586"/>
    </row>
    <row r="279" spans="1:5">
      <c r="A279" s="513">
        <f t="shared" si="8"/>
        <v>51416</v>
      </c>
      <c r="B279" s="524">
        <f t="shared" si="9"/>
        <v>799148.5515901366</v>
      </c>
      <c r="C279" s="524"/>
      <c r="D279"/>
      <c r="E279" s="586"/>
    </row>
    <row r="280" spans="1:5">
      <c r="A280" s="513">
        <f t="shared" si="8"/>
        <v>51446</v>
      </c>
      <c r="B280" s="524">
        <f t="shared" si="9"/>
        <v>801148.5515901366</v>
      </c>
      <c r="C280" s="524"/>
      <c r="D280"/>
      <c r="E280" s="586"/>
    </row>
    <row r="281" spans="1:5">
      <c r="A281" s="513">
        <f>A280+35</f>
        <v>51481</v>
      </c>
      <c r="B281" s="524">
        <f t="shared" si="9"/>
        <v>803148.5515901366</v>
      </c>
      <c r="C281" s="524"/>
      <c r="D281"/>
      <c r="E281" s="586"/>
    </row>
    <row r="282" spans="1:5">
      <c r="A282" s="513">
        <f t="shared" si="8"/>
        <v>51511</v>
      </c>
      <c r="B282" s="524">
        <f t="shared" si="9"/>
        <v>805148.5515901366</v>
      </c>
      <c r="C282" s="524">
        <f>B281*(1+$C$15)-B281</f>
        <v>30519.644960425212</v>
      </c>
      <c r="D282"/>
      <c r="E282" s="586"/>
    </row>
    <row r="283" spans="1:5">
      <c r="A283" s="513">
        <f t="shared" si="8"/>
        <v>51541</v>
      </c>
      <c r="B283" s="524">
        <f t="shared" si="9"/>
        <v>837668.19655056181</v>
      </c>
      <c r="C283" s="524"/>
      <c r="D283"/>
      <c r="E283" s="586"/>
    </row>
    <row r="284" spans="1:5">
      <c r="A284" s="513">
        <f t="shared" si="8"/>
        <v>51571</v>
      </c>
      <c r="B284" s="524">
        <f t="shared" si="9"/>
        <v>839668.19655056181</v>
      </c>
      <c r="C284" s="524"/>
      <c r="D284"/>
      <c r="E284" s="586"/>
    </row>
    <row r="285" spans="1:5">
      <c r="A285" s="513">
        <f t="shared" si="8"/>
        <v>51601</v>
      </c>
      <c r="B285" s="524">
        <f t="shared" si="9"/>
        <v>841668.19655056181</v>
      </c>
      <c r="C285" s="524"/>
      <c r="D285"/>
      <c r="E285" s="586"/>
    </row>
    <row r="286" spans="1:5">
      <c r="A286" s="513">
        <f t="shared" si="8"/>
        <v>51631</v>
      </c>
      <c r="B286" s="524">
        <f t="shared" si="9"/>
        <v>843668.19655056181</v>
      </c>
      <c r="C286" s="524"/>
      <c r="D286"/>
      <c r="E286" s="586"/>
    </row>
    <row r="287" spans="1:5">
      <c r="A287" s="513">
        <f t="shared" si="8"/>
        <v>51661</v>
      </c>
      <c r="B287" s="524">
        <f t="shared" si="9"/>
        <v>845668.19655056181</v>
      </c>
      <c r="C287" s="524"/>
      <c r="D287"/>
      <c r="E287" s="586"/>
    </row>
    <row r="288" spans="1:5">
      <c r="A288" s="513">
        <f t="shared" si="8"/>
        <v>51691</v>
      </c>
      <c r="B288" s="524">
        <f t="shared" si="9"/>
        <v>847668.19655056181</v>
      </c>
      <c r="C288" s="524"/>
      <c r="D288"/>
      <c r="E288" s="586"/>
    </row>
    <row r="289" spans="1:5">
      <c r="A289" s="513">
        <f t="shared" si="8"/>
        <v>51721</v>
      </c>
      <c r="B289" s="524">
        <f t="shared" si="9"/>
        <v>849668.19655056181</v>
      </c>
      <c r="C289" s="524"/>
      <c r="D289"/>
      <c r="E289" s="586"/>
    </row>
    <row r="290" spans="1:5">
      <c r="A290" s="513">
        <f t="shared" si="8"/>
        <v>51751</v>
      </c>
      <c r="B290" s="524">
        <f t="shared" si="9"/>
        <v>851668.19655056181</v>
      </c>
      <c r="C290" s="524"/>
      <c r="D290"/>
      <c r="E290" s="586"/>
    </row>
    <row r="291" spans="1:5">
      <c r="A291" s="513">
        <f t="shared" si="8"/>
        <v>51781</v>
      </c>
      <c r="B291" s="524">
        <f t="shared" si="9"/>
        <v>853668.19655056181</v>
      </c>
      <c r="C291" s="524"/>
      <c r="D291"/>
      <c r="E291" s="586"/>
    </row>
    <row r="292" spans="1:5">
      <c r="A292" s="513">
        <f t="shared" si="8"/>
        <v>51811</v>
      </c>
      <c r="B292" s="524">
        <f t="shared" si="9"/>
        <v>855668.19655056181</v>
      </c>
      <c r="C292" s="524"/>
      <c r="D292"/>
      <c r="E292" s="586"/>
    </row>
    <row r="293" spans="1:5">
      <c r="A293" s="513">
        <f>A292+35</f>
        <v>51846</v>
      </c>
      <c r="B293" s="524">
        <f t="shared" si="9"/>
        <v>857668.19655056181</v>
      </c>
      <c r="C293" s="524"/>
      <c r="D293"/>
      <c r="E293" s="586"/>
    </row>
    <row r="294" spans="1:5">
      <c r="A294" s="513">
        <f t="shared" si="8"/>
        <v>51876</v>
      </c>
      <c r="B294" s="524">
        <f t="shared" si="9"/>
        <v>859668.19655056181</v>
      </c>
      <c r="C294" s="524">
        <f>B293*(1+$C$15)-B293</f>
        <v>32591.391468921327</v>
      </c>
      <c r="D294"/>
      <c r="E294" s="586"/>
    </row>
    <row r="295" spans="1:5">
      <c r="A295" s="513">
        <f t="shared" si="8"/>
        <v>51906</v>
      </c>
      <c r="B295" s="524">
        <f t="shared" si="9"/>
        <v>894259.58801948314</v>
      </c>
      <c r="C295" s="524"/>
      <c r="D295"/>
      <c r="E295" s="586"/>
    </row>
    <row r="296" spans="1:5">
      <c r="A296" s="513">
        <f t="shared" si="8"/>
        <v>51936</v>
      </c>
      <c r="B296" s="524">
        <f t="shared" si="9"/>
        <v>896259.58801948314</v>
      </c>
      <c r="C296" s="524"/>
      <c r="D296"/>
      <c r="E296" s="586"/>
    </row>
    <row r="297" spans="1:5">
      <c r="A297" s="513">
        <f t="shared" si="8"/>
        <v>51966</v>
      </c>
      <c r="B297" s="524">
        <f t="shared" si="9"/>
        <v>898259.58801948314</v>
      </c>
      <c r="C297" s="524"/>
      <c r="D297"/>
      <c r="E297" s="586"/>
    </row>
    <row r="298" spans="1:5">
      <c r="A298" s="513">
        <f t="shared" si="8"/>
        <v>51996</v>
      </c>
      <c r="B298" s="524">
        <f t="shared" si="9"/>
        <v>900259.58801948314</v>
      </c>
      <c r="C298" s="524"/>
      <c r="D298"/>
      <c r="E298" s="586"/>
    </row>
    <row r="299" spans="1:5">
      <c r="A299" s="513">
        <f t="shared" si="8"/>
        <v>52026</v>
      </c>
      <c r="B299" s="524">
        <f t="shared" si="9"/>
        <v>902259.58801948314</v>
      </c>
      <c r="C299" s="524"/>
      <c r="D299"/>
      <c r="E299" s="586"/>
    </row>
    <row r="300" spans="1:5">
      <c r="A300" s="513">
        <f t="shared" si="8"/>
        <v>52056</v>
      </c>
      <c r="B300" s="524">
        <f t="shared" si="9"/>
        <v>904259.58801948314</v>
      </c>
      <c r="C300" s="524"/>
      <c r="D300"/>
      <c r="E300" s="586"/>
    </row>
    <row r="301" spans="1:5">
      <c r="A301" s="513">
        <f t="shared" si="8"/>
        <v>52086</v>
      </c>
      <c r="B301" s="524">
        <f t="shared" si="9"/>
        <v>906259.58801948314</v>
      </c>
      <c r="C301" s="524"/>
      <c r="D301"/>
      <c r="E301" s="586"/>
    </row>
    <row r="302" spans="1:5">
      <c r="A302" s="513">
        <f t="shared" si="8"/>
        <v>52116</v>
      </c>
      <c r="B302" s="524">
        <f t="shared" si="9"/>
        <v>908259.58801948314</v>
      </c>
      <c r="C302" s="524"/>
      <c r="D302"/>
      <c r="E302" s="586"/>
    </row>
    <row r="303" spans="1:5">
      <c r="A303" s="513">
        <f t="shared" si="8"/>
        <v>52146</v>
      </c>
      <c r="B303" s="524">
        <f t="shared" si="9"/>
        <v>910259.58801948314</v>
      </c>
      <c r="C303" s="524"/>
      <c r="D303"/>
      <c r="E303" s="586"/>
    </row>
    <row r="304" spans="1:5">
      <c r="A304" s="513">
        <f t="shared" si="8"/>
        <v>52176</v>
      </c>
      <c r="B304" s="524">
        <f t="shared" si="9"/>
        <v>912259.58801948314</v>
      </c>
      <c r="C304" s="524"/>
      <c r="D304"/>
      <c r="E304" s="586"/>
    </row>
    <row r="305" spans="1:5">
      <c r="A305" s="513">
        <f t="shared" si="8"/>
        <v>52206</v>
      </c>
      <c r="B305" s="524">
        <f t="shared" si="9"/>
        <v>914259.58801948314</v>
      </c>
      <c r="C305" s="524"/>
      <c r="D305"/>
      <c r="E305" s="586"/>
    </row>
    <row r="306" spans="1:5">
      <c r="A306" s="513">
        <f>A305+35</f>
        <v>52241</v>
      </c>
      <c r="B306" s="524">
        <f t="shared" si="9"/>
        <v>916259.58801948314</v>
      </c>
      <c r="C306" s="524">
        <f>B305*(1+$C$15)-B305</f>
        <v>34741.864344740403</v>
      </c>
      <c r="D306"/>
      <c r="E306" s="586"/>
    </row>
    <row r="307" spans="1:5">
      <c r="A307" s="513">
        <f t="shared" si="8"/>
        <v>52271</v>
      </c>
      <c r="B307" s="524">
        <f t="shared" si="9"/>
        <v>953001.45236422354</v>
      </c>
      <c r="C307" s="524"/>
      <c r="D307"/>
      <c r="E307" s="586"/>
    </row>
    <row r="308" spans="1:5">
      <c r="A308" s="513">
        <f t="shared" si="8"/>
        <v>52301</v>
      </c>
      <c r="B308" s="524">
        <f t="shared" si="9"/>
        <v>955001.45236422354</v>
      </c>
      <c r="C308" s="524"/>
      <c r="D308"/>
      <c r="E308" s="586"/>
    </row>
    <row r="309" spans="1:5">
      <c r="A309" s="513">
        <f t="shared" si="8"/>
        <v>52331</v>
      </c>
      <c r="B309" s="524">
        <f t="shared" si="9"/>
        <v>957001.45236422354</v>
      </c>
      <c r="C309" s="524"/>
      <c r="D309"/>
      <c r="E309" s="586"/>
    </row>
    <row r="310" spans="1:5">
      <c r="A310" s="513">
        <f t="shared" si="8"/>
        <v>52361</v>
      </c>
      <c r="B310" s="524">
        <f t="shared" si="9"/>
        <v>959001.45236422354</v>
      </c>
      <c r="C310" s="524"/>
      <c r="D310"/>
      <c r="E310" s="586"/>
    </row>
    <row r="311" spans="1:5">
      <c r="A311" s="513">
        <f t="shared" si="8"/>
        <v>52391</v>
      </c>
      <c r="B311" s="524">
        <f t="shared" si="9"/>
        <v>961001.45236422354</v>
      </c>
      <c r="C311" s="524"/>
      <c r="D311"/>
      <c r="E311" s="586"/>
    </row>
    <row r="312" spans="1:5">
      <c r="A312" s="513">
        <f t="shared" si="8"/>
        <v>52421</v>
      </c>
      <c r="B312" s="524">
        <f t="shared" si="9"/>
        <v>963001.45236422354</v>
      </c>
      <c r="C312" s="524"/>
      <c r="D312"/>
      <c r="E312" s="586"/>
    </row>
    <row r="313" spans="1:5">
      <c r="A313" s="513">
        <f t="shared" si="8"/>
        <v>52451</v>
      </c>
      <c r="B313" s="524">
        <f t="shared" si="9"/>
        <v>965001.45236422354</v>
      </c>
      <c r="C313" s="524"/>
      <c r="D313"/>
      <c r="E313" s="586"/>
    </row>
    <row r="314" spans="1:5">
      <c r="A314" s="513">
        <f t="shared" si="8"/>
        <v>52481</v>
      </c>
      <c r="B314" s="524">
        <f t="shared" si="9"/>
        <v>967001.45236422354</v>
      </c>
      <c r="C314" s="524"/>
      <c r="D314"/>
      <c r="E314" s="586"/>
    </row>
    <row r="315" spans="1:5">
      <c r="A315" s="513">
        <f t="shared" si="8"/>
        <v>52511</v>
      </c>
      <c r="B315" s="524">
        <f t="shared" si="9"/>
        <v>969001.45236422354</v>
      </c>
      <c r="C315" s="524"/>
      <c r="D315"/>
      <c r="E315" s="586"/>
    </row>
    <row r="316" spans="1:5">
      <c r="A316" s="513">
        <f t="shared" si="8"/>
        <v>52541</v>
      </c>
      <c r="B316" s="524">
        <f t="shared" si="9"/>
        <v>971001.45236422354</v>
      </c>
      <c r="C316" s="524"/>
      <c r="D316"/>
      <c r="E316" s="586"/>
    </row>
    <row r="317" spans="1:5">
      <c r="A317" s="513">
        <f>A316+35</f>
        <v>52576</v>
      </c>
      <c r="B317" s="524">
        <f t="shared" si="9"/>
        <v>973001.45236422354</v>
      </c>
      <c r="C317" s="524"/>
      <c r="D317"/>
      <c r="E317" s="586"/>
    </row>
    <row r="318" spans="1:5">
      <c r="A318" s="513">
        <f t="shared" si="8"/>
        <v>52606</v>
      </c>
      <c r="B318" s="524">
        <f t="shared" si="9"/>
        <v>975001.45236422354</v>
      </c>
      <c r="C318" s="524">
        <f>B317*(1+$C$15)-B317</f>
        <v>36974.055189840496</v>
      </c>
      <c r="D318"/>
      <c r="E318" s="586"/>
    </row>
    <row r="319" spans="1:5">
      <c r="A319" s="513">
        <f t="shared" si="8"/>
        <v>52636</v>
      </c>
      <c r="B319" s="524">
        <f t="shared" si="9"/>
        <v>1013975.507554064</v>
      </c>
      <c r="C319" s="524"/>
      <c r="D319"/>
      <c r="E319" s="586"/>
    </row>
    <row r="320" spans="1:5">
      <c r="A320" s="513">
        <f t="shared" si="8"/>
        <v>52666</v>
      </c>
      <c r="B320" s="524">
        <f t="shared" si="9"/>
        <v>1015975.507554064</v>
      </c>
      <c r="C320" s="524"/>
      <c r="D320"/>
      <c r="E320" s="586"/>
    </row>
    <row r="321" spans="1:5">
      <c r="A321" s="513">
        <f t="shared" si="8"/>
        <v>52696</v>
      </c>
      <c r="B321" s="524">
        <f t="shared" si="9"/>
        <v>1017975.507554064</v>
      </c>
      <c r="C321" s="524"/>
      <c r="D321"/>
      <c r="E321" s="586"/>
    </row>
    <row r="322" spans="1:5">
      <c r="A322" s="513">
        <f t="shared" si="8"/>
        <v>52726</v>
      </c>
      <c r="B322" s="524">
        <f t="shared" si="9"/>
        <v>1019975.507554064</v>
      </c>
      <c r="C322" s="524"/>
      <c r="D322"/>
      <c r="E322" s="586"/>
    </row>
    <row r="323" spans="1:5">
      <c r="A323" s="513">
        <f t="shared" si="8"/>
        <v>52756</v>
      </c>
      <c r="B323" s="524">
        <f t="shared" si="9"/>
        <v>1021975.507554064</v>
      </c>
      <c r="C323" s="524"/>
      <c r="D323"/>
      <c r="E323" s="586"/>
    </row>
    <row r="324" spans="1:5">
      <c r="A324" s="513">
        <f t="shared" si="8"/>
        <v>52786</v>
      </c>
      <c r="B324" s="524">
        <f t="shared" si="9"/>
        <v>1023975.507554064</v>
      </c>
      <c r="C324" s="524"/>
      <c r="D324"/>
      <c r="E324" s="586"/>
    </row>
    <row r="325" spans="1:5">
      <c r="A325" s="513">
        <f t="shared" si="8"/>
        <v>52816</v>
      </c>
      <c r="B325" s="524">
        <f t="shared" si="9"/>
        <v>1025975.507554064</v>
      </c>
      <c r="C325" s="524"/>
      <c r="D325"/>
      <c r="E325" s="586"/>
    </row>
    <row r="326" spans="1:5">
      <c r="A326" s="513">
        <f t="shared" si="8"/>
        <v>52846</v>
      </c>
      <c r="B326" s="524">
        <f t="shared" si="9"/>
        <v>1027975.507554064</v>
      </c>
      <c r="C326" s="524"/>
      <c r="D326"/>
      <c r="E326" s="586"/>
    </row>
    <row r="327" spans="1:5">
      <c r="A327" s="513">
        <f t="shared" si="8"/>
        <v>52876</v>
      </c>
      <c r="B327" s="524">
        <f t="shared" si="9"/>
        <v>1029975.507554064</v>
      </c>
      <c r="C327" s="524"/>
      <c r="D327"/>
      <c r="E327" s="586"/>
    </row>
    <row r="328" spans="1:5">
      <c r="A328" s="513">
        <f t="shared" si="8"/>
        <v>52906</v>
      </c>
      <c r="B328" s="524">
        <f t="shared" si="9"/>
        <v>1031975.507554064</v>
      </c>
      <c r="C328" s="524"/>
      <c r="D328"/>
      <c r="E328" s="586"/>
    </row>
    <row r="329" spans="1:5">
      <c r="A329" s="513">
        <f>A328+35</f>
        <v>52941</v>
      </c>
      <c r="B329" s="524">
        <f t="shared" si="9"/>
        <v>1033975.507554064</v>
      </c>
      <c r="C329" s="524"/>
      <c r="D329"/>
      <c r="E329" s="586"/>
    </row>
    <row r="330" spans="1:5">
      <c r="A330" s="513">
        <f t="shared" si="8"/>
        <v>52971</v>
      </c>
      <c r="B330" s="524">
        <f t="shared" si="9"/>
        <v>1035975.507554064</v>
      </c>
      <c r="C330" s="524">
        <f>B329*(1+$C$15)-B329</f>
        <v>39291.069287054474</v>
      </c>
      <c r="D330"/>
      <c r="E330" s="586"/>
    </row>
    <row r="331" spans="1:5">
      <c r="A331" s="513">
        <f t="shared" si="8"/>
        <v>53001</v>
      </c>
      <c r="B331" s="524">
        <f t="shared" si="9"/>
        <v>1077266.5768411185</v>
      </c>
      <c r="C331" s="524"/>
      <c r="D331"/>
      <c r="E331" s="586"/>
    </row>
    <row r="332" spans="1:5">
      <c r="A332" s="513">
        <f t="shared" si="8"/>
        <v>53031</v>
      </c>
      <c r="B332" s="524">
        <f t="shared" si="9"/>
        <v>1079266.5768411185</v>
      </c>
      <c r="C332" s="524"/>
      <c r="D332"/>
      <c r="E332" s="586"/>
    </row>
    <row r="333" spans="1:5">
      <c r="A333" s="513">
        <f t="shared" si="8"/>
        <v>53061</v>
      </c>
      <c r="B333" s="524">
        <f t="shared" si="9"/>
        <v>1081266.5768411185</v>
      </c>
      <c r="C333" s="524"/>
      <c r="D333"/>
      <c r="E333" s="586"/>
    </row>
    <row r="334" spans="1:5">
      <c r="A334" s="513">
        <f t="shared" si="8"/>
        <v>53091</v>
      </c>
      <c r="B334" s="524">
        <f t="shared" si="9"/>
        <v>1083266.5768411185</v>
      </c>
      <c r="C334" s="524"/>
      <c r="D334"/>
      <c r="E334" s="586"/>
    </row>
    <row r="335" spans="1:5">
      <c r="A335" s="513">
        <f t="shared" si="8"/>
        <v>53121</v>
      </c>
      <c r="B335" s="524">
        <f t="shared" si="9"/>
        <v>1085266.5768411185</v>
      </c>
      <c r="C335" s="524"/>
      <c r="D335"/>
      <c r="E335" s="586"/>
    </row>
    <row r="336" spans="1:5">
      <c r="A336" s="513">
        <f t="shared" si="8"/>
        <v>53151</v>
      </c>
      <c r="B336" s="524">
        <f t="shared" si="9"/>
        <v>1087266.5768411185</v>
      </c>
      <c r="C336" s="524"/>
      <c r="D336"/>
      <c r="E336" s="586"/>
    </row>
    <row r="337" spans="1:5">
      <c r="A337" s="513">
        <f t="shared" si="8"/>
        <v>53181</v>
      </c>
      <c r="B337" s="524">
        <f t="shared" si="9"/>
        <v>1089266.5768411185</v>
      </c>
      <c r="C337" s="524"/>
      <c r="D337"/>
      <c r="E337" s="586"/>
    </row>
    <row r="338" spans="1:5">
      <c r="A338" s="513">
        <f t="shared" si="8"/>
        <v>53211</v>
      </c>
      <c r="B338" s="524">
        <f t="shared" si="9"/>
        <v>1091266.5768411185</v>
      </c>
      <c r="C338" s="524"/>
      <c r="D338"/>
      <c r="E338" s="586"/>
    </row>
    <row r="339" spans="1:5">
      <c r="A339" s="513">
        <f t="shared" ref="A339:A402" si="10">A338+30</f>
        <v>53241</v>
      </c>
      <c r="B339" s="524">
        <f t="shared" si="9"/>
        <v>1093266.5768411185</v>
      </c>
      <c r="C339" s="524"/>
      <c r="D339"/>
      <c r="E339" s="586"/>
    </row>
    <row r="340" spans="1:5">
      <c r="A340" s="513">
        <f t="shared" si="10"/>
        <v>53271</v>
      </c>
      <c r="B340" s="524">
        <f t="shared" ref="B340:B403" si="11">B339+C339+$C$13</f>
        <v>1095266.5768411185</v>
      </c>
      <c r="C340" s="524"/>
      <c r="D340"/>
      <c r="E340" s="586"/>
    </row>
    <row r="341" spans="1:5">
      <c r="A341" s="513">
        <f>A340+35</f>
        <v>53306</v>
      </c>
      <c r="B341" s="524">
        <f t="shared" si="11"/>
        <v>1097266.5768411185</v>
      </c>
      <c r="C341" s="524"/>
      <c r="D341"/>
      <c r="E341" s="586"/>
    </row>
    <row r="342" spans="1:5">
      <c r="A342" s="513">
        <f t="shared" si="10"/>
        <v>53336</v>
      </c>
      <c r="B342" s="524">
        <f t="shared" si="11"/>
        <v>1099266.5768411185</v>
      </c>
      <c r="C342" s="524">
        <f>B341*(1+$C$15)-B341</f>
        <v>41696.129919962492</v>
      </c>
      <c r="D342"/>
      <c r="E342" s="586"/>
    </row>
    <row r="343" spans="1:5">
      <c r="A343" s="513">
        <f t="shared" si="10"/>
        <v>53366</v>
      </c>
      <c r="B343" s="524">
        <f t="shared" si="11"/>
        <v>1142962.706761081</v>
      </c>
      <c r="C343" s="524"/>
      <c r="D343"/>
      <c r="E343" s="586"/>
    </row>
    <row r="344" spans="1:5">
      <c r="A344" s="513">
        <f t="shared" si="10"/>
        <v>53396</v>
      </c>
      <c r="B344" s="524">
        <f t="shared" si="11"/>
        <v>1144962.706761081</v>
      </c>
      <c r="C344" s="524"/>
      <c r="D344"/>
      <c r="E344" s="586"/>
    </row>
    <row r="345" spans="1:5">
      <c r="A345" s="513">
        <f t="shared" si="10"/>
        <v>53426</v>
      </c>
      <c r="B345" s="524">
        <f t="shared" si="11"/>
        <v>1146962.706761081</v>
      </c>
      <c r="C345" s="524"/>
      <c r="D345"/>
      <c r="E345" s="586"/>
    </row>
    <row r="346" spans="1:5">
      <c r="A346" s="513">
        <f t="shared" si="10"/>
        <v>53456</v>
      </c>
      <c r="B346" s="524">
        <f t="shared" si="11"/>
        <v>1148962.706761081</v>
      </c>
      <c r="C346" s="524"/>
      <c r="D346"/>
      <c r="E346" s="586"/>
    </row>
    <row r="347" spans="1:5">
      <c r="A347" s="513">
        <f t="shared" si="10"/>
        <v>53486</v>
      </c>
      <c r="B347" s="524">
        <f t="shared" si="11"/>
        <v>1150962.706761081</v>
      </c>
      <c r="C347" s="524"/>
      <c r="D347"/>
      <c r="E347" s="586"/>
    </row>
    <row r="348" spans="1:5">
      <c r="A348" s="513">
        <f t="shared" si="10"/>
        <v>53516</v>
      </c>
      <c r="B348" s="524">
        <f t="shared" si="11"/>
        <v>1152962.706761081</v>
      </c>
      <c r="C348" s="524"/>
      <c r="D348"/>
      <c r="E348" s="586"/>
    </row>
    <row r="349" spans="1:5">
      <c r="A349" s="513">
        <f t="shared" si="10"/>
        <v>53546</v>
      </c>
      <c r="B349" s="524">
        <f t="shared" si="11"/>
        <v>1154962.706761081</v>
      </c>
      <c r="C349" s="524"/>
      <c r="D349"/>
      <c r="E349" s="586"/>
    </row>
    <row r="350" spans="1:5">
      <c r="A350" s="513">
        <f t="shared" si="10"/>
        <v>53576</v>
      </c>
      <c r="B350" s="524">
        <f t="shared" si="11"/>
        <v>1156962.706761081</v>
      </c>
      <c r="C350" s="524"/>
      <c r="D350"/>
      <c r="E350" s="586"/>
    </row>
    <row r="351" spans="1:5">
      <c r="A351" s="513">
        <f t="shared" si="10"/>
        <v>53606</v>
      </c>
      <c r="B351" s="524">
        <f t="shared" si="11"/>
        <v>1158962.706761081</v>
      </c>
      <c r="C351" s="524"/>
      <c r="D351"/>
      <c r="E351" s="586"/>
    </row>
    <row r="352" spans="1:5">
      <c r="A352" s="513">
        <f t="shared" si="10"/>
        <v>53636</v>
      </c>
      <c r="B352" s="524">
        <f t="shared" si="11"/>
        <v>1160962.706761081</v>
      </c>
      <c r="C352" s="524"/>
      <c r="D352"/>
      <c r="E352" s="586"/>
    </row>
    <row r="353" spans="1:5">
      <c r="A353" s="513">
        <f>A352+35</f>
        <v>53671</v>
      </c>
      <c r="B353" s="524">
        <f t="shared" si="11"/>
        <v>1162962.706761081</v>
      </c>
      <c r="C353" s="524"/>
      <c r="D353"/>
      <c r="E353" s="586"/>
    </row>
    <row r="354" spans="1:5">
      <c r="A354" s="513">
        <f t="shared" si="10"/>
        <v>53701</v>
      </c>
      <c r="B354" s="524">
        <f t="shared" si="11"/>
        <v>1164962.706761081</v>
      </c>
      <c r="C354" s="524">
        <f>B353*(1+$C$15)-B353</f>
        <v>44192.582856921013</v>
      </c>
      <c r="D354"/>
      <c r="E354" s="586"/>
    </row>
    <row r="355" spans="1:5">
      <c r="A355" s="513">
        <f t="shared" si="10"/>
        <v>53731</v>
      </c>
      <c r="B355" s="524">
        <f t="shared" si="11"/>
        <v>1211155.289618002</v>
      </c>
      <c r="C355" s="524"/>
      <c r="D355"/>
      <c r="E355" s="586"/>
    </row>
    <row r="356" spans="1:5">
      <c r="A356" s="513">
        <f t="shared" si="10"/>
        <v>53761</v>
      </c>
      <c r="B356" s="524">
        <f t="shared" si="11"/>
        <v>1213155.289618002</v>
      </c>
      <c r="C356" s="524"/>
      <c r="D356"/>
      <c r="E356" s="586"/>
    </row>
    <row r="357" spans="1:5">
      <c r="A357" s="513">
        <f t="shared" si="10"/>
        <v>53791</v>
      </c>
      <c r="B357" s="524">
        <f t="shared" si="11"/>
        <v>1215155.289618002</v>
      </c>
      <c r="C357" s="524"/>
      <c r="D357"/>
      <c r="E357" s="586"/>
    </row>
    <row r="358" spans="1:5">
      <c r="A358" s="513">
        <f t="shared" si="10"/>
        <v>53821</v>
      </c>
      <c r="B358" s="524">
        <f t="shared" si="11"/>
        <v>1217155.289618002</v>
      </c>
      <c r="C358" s="524"/>
      <c r="D358"/>
      <c r="E358" s="586"/>
    </row>
    <row r="359" spans="1:5">
      <c r="A359" s="513">
        <f t="shared" si="10"/>
        <v>53851</v>
      </c>
      <c r="B359" s="524">
        <f t="shared" si="11"/>
        <v>1219155.289618002</v>
      </c>
      <c r="C359" s="524"/>
      <c r="D359"/>
      <c r="E359" s="586"/>
    </row>
    <row r="360" spans="1:5">
      <c r="A360" s="513">
        <f t="shared" si="10"/>
        <v>53881</v>
      </c>
      <c r="B360" s="524">
        <f t="shared" si="11"/>
        <v>1221155.289618002</v>
      </c>
      <c r="C360" s="524"/>
      <c r="D360"/>
      <c r="E360" s="586"/>
    </row>
    <row r="361" spans="1:5">
      <c r="A361" s="513">
        <f t="shared" si="10"/>
        <v>53911</v>
      </c>
      <c r="B361" s="524">
        <f t="shared" si="11"/>
        <v>1223155.289618002</v>
      </c>
      <c r="C361" s="524"/>
      <c r="D361"/>
      <c r="E361" s="586"/>
    </row>
    <row r="362" spans="1:5">
      <c r="A362" s="513">
        <f t="shared" si="10"/>
        <v>53941</v>
      </c>
      <c r="B362" s="524">
        <f t="shared" si="11"/>
        <v>1225155.289618002</v>
      </c>
      <c r="C362" s="524"/>
      <c r="D362"/>
      <c r="E362" s="586"/>
    </row>
    <row r="363" spans="1:5">
      <c r="A363" s="513">
        <f t="shared" si="10"/>
        <v>53971</v>
      </c>
      <c r="B363" s="524">
        <f t="shared" si="11"/>
        <v>1227155.289618002</v>
      </c>
      <c r="C363" s="524"/>
      <c r="D363"/>
      <c r="E363" s="586"/>
    </row>
    <row r="364" spans="1:5">
      <c r="A364" s="513">
        <f t="shared" si="10"/>
        <v>54001</v>
      </c>
      <c r="B364" s="524">
        <f t="shared" si="11"/>
        <v>1229155.289618002</v>
      </c>
      <c r="C364" s="524"/>
      <c r="D364"/>
      <c r="E364" s="586"/>
    </row>
    <row r="365" spans="1:5">
      <c r="A365" s="513">
        <f>A364+35</f>
        <v>54036</v>
      </c>
      <c r="B365" s="524">
        <f t="shared" si="11"/>
        <v>1231155.289618002</v>
      </c>
      <c r="C365" s="524"/>
      <c r="D365"/>
      <c r="E365" s="586"/>
    </row>
    <row r="366" spans="1:5">
      <c r="A366" s="513">
        <f t="shared" si="10"/>
        <v>54066</v>
      </c>
      <c r="B366" s="524">
        <f t="shared" si="11"/>
        <v>1233155.289618002</v>
      </c>
      <c r="C366" s="524">
        <f>B365*(1+$C$15)-B365</f>
        <v>46783.901005484164</v>
      </c>
      <c r="D366"/>
      <c r="E366" s="586"/>
    </row>
    <row r="367" spans="1:5">
      <c r="A367" s="513">
        <f t="shared" si="10"/>
        <v>54096</v>
      </c>
      <c r="B367" s="524">
        <f t="shared" si="11"/>
        <v>1281939.1906234862</v>
      </c>
      <c r="C367" s="524"/>
      <c r="D367"/>
      <c r="E367" s="586"/>
    </row>
    <row r="368" spans="1:5">
      <c r="A368" s="513">
        <f t="shared" si="10"/>
        <v>54126</v>
      </c>
      <c r="B368" s="524">
        <f t="shared" si="11"/>
        <v>1283939.1906234862</v>
      </c>
      <c r="C368" s="524"/>
      <c r="D368"/>
      <c r="E368" s="586"/>
    </row>
    <row r="369" spans="1:5">
      <c r="A369" s="513">
        <f t="shared" si="10"/>
        <v>54156</v>
      </c>
      <c r="B369" s="524">
        <f t="shared" si="11"/>
        <v>1285939.1906234862</v>
      </c>
      <c r="C369" s="524"/>
      <c r="D369"/>
      <c r="E369" s="586"/>
    </row>
    <row r="370" spans="1:5">
      <c r="A370" s="513">
        <f t="shared" si="10"/>
        <v>54186</v>
      </c>
      <c r="B370" s="524">
        <f t="shared" si="11"/>
        <v>1287939.1906234862</v>
      </c>
      <c r="C370" s="524"/>
      <c r="D370"/>
      <c r="E370" s="586"/>
    </row>
    <row r="371" spans="1:5">
      <c r="A371" s="513">
        <f t="shared" si="10"/>
        <v>54216</v>
      </c>
      <c r="B371" s="524">
        <f t="shared" si="11"/>
        <v>1289939.1906234862</v>
      </c>
      <c r="C371" s="524"/>
      <c r="D371"/>
      <c r="E371" s="586"/>
    </row>
    <row r="372" spans="1:5">
      <c r="A372" s="513">
        <f t="shared" si="10"/>
        <v>54246</v>
      </c>
      <c r="B372" s="524">
        <f t="shared" si="11"/>
        <v>1291939.1906234862</v>
      </c>
      <c r="C372" s="524"/>
      <c r="D372"/>
      <c r="E372" s="586"/>
    </row>
    <row r="373" spans="1:5">
      <c r="A373" s="513">
        <f t="shared" si="10"/>
        <v>54276</v>
      </c>
      <c r="B373" s="524">
        <f t="shared" si="11"/>
        <v>1293939.1906234862</v>
      </c>
      <c r="C373" s="524"/>
      <c r="D373"/>
      <c r="E373" s="586"/>
    </row>
    <row r="374" spans="1:5">
      <c r="A374" s="513">
        <f t="shared" si="10"/>
        <v>54306</v>
      </c>
      <c r="B374" s="524">
        <f t="shared" si="11"/>
        <v>1295939.1906234862</v>
      </c>
      <c r="C374" s="524"/>
      <c r="D374"/>
      <c r="E374" s="586"/>
    </row>
    <row r="375" spans="1:5">
      <c r="A375" s="513">
        <f t="shared" si="10"/>
        <v>54336</v>
      </c>
      <c r="B375" s="524">
        <f t="shared" si="11"/>
        <v>1297939.1906234862</v>
      </c>
      <c r="C375" s="524"/>
      <c r="D375"/>
      <c r="E375" s="586"/>
    </row>
    <row r="376" spans="1:5">
      <c r="A376" s="513">
        <f t="shared" si="10"/>
        <v>54366</v>
      </c>
      <c r="B376" s="524">
        <f t="shared" si="11"/>
        <v>1299939.1906234862</v>
      </c>
      <c r="C376" s="524"/>
      <c r="D376"/>
      <c r="E376" s="586"/>
    </row>
    <row r="377" spans="1:5">
      <c r="A377" s="513">
        <f>A376+35</f>
        <v>54401</v>
      </c>
      <c r="B377" s="524">
        <f t="shared" si="11"/>
        <v>1301939.1906234862</v>
      </c>
      <c r="C377" s="524"/>
      <c r="D377"/>
      <c r="E377" s="586"/>
    </row>
    <row r="378" spans="1:5">
      <c r="A378" s="513">
        <f t="shared" si="10"/>
        <v>54431</v>
      </c>
      <c r="B378" s="524">
        <f t="shared" si="11"/>
        <v>1303939.1906234862</v>
      </c>
      <c r="C378" s="524">
        <f>B377*(1+$C$15)-B377</f>
        <v>49473.689243692439</v>
      </c>
      <c r="D378"/>
      <c r="E378" s="586"/>
    </row>
    <row r="379" spans="1:5">
      <c r="A379" s="513">
        <f t="shared" si="10"/>
        <v>54461</v>
      </c>
      <c r="B379" s="524">
        <f t="shared" si="11"/>
        <v>1355412.8798671786</v>
      </c>
      <c r="C379" s="524"/>
      <c r="D379"/>
      <c r="E379" s="586"/>
    </row>
    <row r="380" spans="1:5">
      <c r="A380" s="513">
        <f t="shared" si="10"/>
        <v>54491</v>
      </c>
      <c r="B380" s="524">
        <f t="shared" si="11"/>
        <v>1357412.8798671786</v>
      </c>
      <c r="C380" s="524"/>
      <c r="D380"/>
      <c r="E380" s="586"/>
    </row>
    <row r="381" spans="1:5">
      <c r="A381" s="513">
        <f t="shared" si="10"/>
        <v>54521</v>
      </c>
      <c r="B381" s="524">
        <f t="shared" si="11"/>
        <v>1359412.8798671786</v>
      </c>
      <c r="C381" s="524"/>
      <c r="D381"/>
      <c r="E381" s="586"/>
    </row>
    <row r="382" spans="1:5">
      <c r="A382" s="513">
        <f t="shared" si="10"/>
        <v>54551</v>
      </c>
      <c r="B382" s="524">
        <f t="shared" si="11"/>
        <v>1361412.8798671786</v>
      </c>
      <c r="C382" s="524"/>
      <c r="D382"/>
      <c r="E382" s="586"/>
    </row>
    <row r="383" spans="1:5">
      <c r="A383" s="513">
        <f t="shared" si="10"/>
        <v>54581</v>
      </c>
      <c r="B383" s="524">
        <f t="shared" si="11"/>
        <v>1363412.8798671786</v>
      </c>
      <c r="C383" s="524"/>
      <c r="D383"/>
      <c r="E383" s="586"/>
    </row>
    <row r="384" spans="1:5">
      <c r="A384" s="513">
        <f t="shared" si="10"/>
        <v>54611</v>
      </c>
      <c r="B384" s="524">
        <f t="shared" si="11"/>
        <v>1365412.8798671786</v>
      </c>
      <c r="C384" s="524"/>
      <c r="D384"/>
      <c r="E384" s="586"/>
    </row>
    <row r="385" spans="1:5">
      <c r="A385" s="513">
        <f t="shared" si="10"/>
        <v>54641</v>
      </c>
      <c r="B385" s="524">
        <f t="shared" si="11"/>
        <v>1367412.8798671786</v>
      </c>
      <c r="C385" s="524"/>
      <c r="D385"/>
      <c r="E385" s="586"/>
    </row>
    <row r="386" spans="1:5">
      <c r="A386" s="513">
        <f t="shared" si="10"/>
        <v>54671</v>
      </c>
      <c r="B386" s="524">
        <f t="shared" si="11"/>
        <v>1369412.8798671786</v>
      </c>
      <c r="C386" s="524"/>
      <c r="D386"/>
      <c r="E386" s="586"/>
    </row>
    <row r="387" spans="1:5">
      <c r="A387" s="513">
        <f t="shared" si="10"/>
        <v>54701</v>
      </c>
      <c r="B387" s="524">
        <f t="shared" si="11"/>
        <v>1371412.8798671786</v>
      </c>
      <c r="C387" s="524"/>
      <c r="D387"/>
      <c r="E387" s="586"/>
    </row>
    <row r="388" spans="1:5">
      <c r="A388" s="513">
        <f t="shared" si="10"/>
        <v>54731</v>
      </c>
      <c r="B388" s="524">
        <f t="shared" si="11"/>
        <v>1373412.8798671786</v>
      </c>
      <c r="C388" s="524"/>
      <c r="D388"/>
      <c r="E388" s="586"/>
    </row>
    <row r="389" spans="1:5">
      <c r="A389" s="513">
        <f>A388+38</f>
        <v>54769</v>
      </c>
      <c r="B389" s="524">
        <f t="shared" si="11"/>
        <v>1375412.8798671786</v>
      </c>
      <c r="C389" s="524"/>
      <c r="D389"/>
      <c r="E389" s="586"/>
    </row>
    <row r="390" spans="1:5">
      <c r="A390" s="513">
        <f t="shared" si="10"/>
        <v>54799</v>
      </c>
      <c r="B390" s="524">
        <f t="shared" si="11"/>
        <v>1377412.8798671786</v>
      </c>
      <c r="C390" s="524">
        <f>B389*(1+$C$15)-B389</f>
        <v>52265.689434952801</v>
      </c>
      <c r="D390"/>
      <c r="E390" s="586"/>
    </row>
    <row r="391" spans="1:5">
      <c r="A391" s="513">
        <f t="shared" si="10"/>
        <v>54829</v>
      </c>
      <c r="B391" s="524">
        <f t="shared" si="11"/>
        <v>1431678.5693021314</v>
      </c>
      <c r="C391" s="524"/>
      <c r="D391"/>
      <c r="E391" s="586"/>
    </row>
    <row r="392" spans="1:5">
      <c r="A392" s="513">
        <f t="shared" si="10"/>
        <v>54859</v>
      </c>
      <c r="B392" s="524">
        <f t="shared" si="11"/>
        <v>1433678.5693021314</v>
      </c>
      <c r="C392" s="524"/>
      <c r="D392"/>
      <c r="E392" s="586"/>
    </row>
    <row r="393" spans="1:5">
      <c r="A393" s="513">
        <f t="shared" si="10"/>
        <v>54889</v>
      </c>
      <c r="B393" s="524">
        <f t="shared" si="11"/>
        <v>1435678.5693021314</v>
      </c>
      <c r="C393" s="524"/>
      <c r="D393"/>
      <c r="E393" s="586"/>
    </row>
    <row r="394" spans="1:5">
      <c r="A394" s="513">
        <f t="shared" si="10"/>
        <v>54919</v>
      </c>
      <c r="B394" s="524">
        <f t="shared" si="11"/>
        <v>1437678.5693021314</v>
      </c>
      <c r="C394" s="524"/>
      <c r="D394"/>
      <c r="E394" s="586"/>
    </row>
    <row r="395" spans="1:5">
      <c r="A395" s="513">
        <f t="shared" si="10"/>
        <v>54949</v>
      </c>
      <c r="B395" s="524">
        <f t="shared" si="11"/>
        <v>1439678.5693021314</v>
      </c>
      <c r="C395" s="524"/>
      <c r="D395"/>
      <c r="E395" s="586"/>
    </row>
    <row r="396" spans="1:5">
      <c r="A396" s="513">
        <f t="shared" si="10"/>
        <v>54979</v>
      </c>
      <c r="B396" s="524">
        <f t="shared" si="11"/>
        <v>1441678.5693021314</v>
      </c>
      <c r="C396" s="524"/>
      <c r="D396"/>
      <c r="E396" s="586"/>
    </row>
    <row r="397" spans="1:5">
      <c r="A397" s="513">
        <f t="shared" si="10"/>
        <v>55009</v>
      </c>
      <c r="B397" s="524">
        <f t="shared" si="11"/>
        <v>1443678.5693021314</v>
      </c>
      <c r="C397" s="524"/>
      <c r="D397"/>
      <c r="E397" s="586"/>
    </row>
    <row r="398" spans="1:5">
      <c r="A398" s="513">
        <f t="shared" si="10"/>
        <v>55039</v>
      </c>
      <c r="B398" s="524">
        <f t="shared" si="11"/>
        <v>1445678.5693021314</v>
      </c>
      <c r="C398" s="524"/>
      <c r="D398"/>
      <c r="E398" s="586"/>
    </row>
    <row r="399" spans="1:5">
      <c r="A399" s="513">
        <f t="shared" si="10"/>
        <v>55069</v>
      </c>
      <c r="B399" s="524">
        <f t="shared" si="11"/>
        <v>1447678.5693021314</v>
      </c>
      <c r="C399" s="524"/>
      <c r="D399"/>
      <c r="E399" s="586"/>
    </row>
    <row r="400" spans="1:5">
      <c r="A400" s="513">
        <f t="shared" si="10"/>
        <v>55099</v>
      </c>
      <c r="B400" s="524">
        <f t="shared" si="11"/>
        <v>1449678.5693021314</v>
      </c>
      <c r="C400" s="524"/>
      <c r="D400"/>
      <c r="E400" s="586"/>
    </row>
    <row r="401" spans="1:5">
      <c r="A401" s="513">
        <f>A400+35</f>
        <v>55134</v>
      </c>
      <c r="B401" s="524">
        <f t="shared" si="11"/>
        <v>1451678.5693021314</v>
      </c>
      <c r="C401" s="524"/>
      <c r="D401"/>
      <c r="E401" s="586"/>
    </row>
    <row r="402" spans="1:5">
      <c r="A402" s="513">
        <f t="shared" si="10"/>
        <v>55164</v>
      </c>
      <c r="B402" s="524">
        <f t="shared" si="11"/>
        <v>1453678.5693021314</v>
      </c>
      <c r="C402" s="524">
        <f>B401*(1+$C$15)-B401</f>
        <v>55163.785633481108</v>
      </c>
      <c r="D402"/>
      <c r="E402" s="586"/>
    </row>
    <row r="403" spans="1:5">
      <c r="A403" s="513">
        <f t="shared" ref="A403:A466" si="12">A402+30</f>
        <v>55194</v>
      </c>
      <c r="B403" s="524">
        <f t="shared" si="11"/>
        <v>1510842.3549356125</v>
      </c>
      <c r="C403" s="524"/>
      <c r="D403"/>
      <c r="E403" s="586"/>
    </row>
    <row r="404" spans="1:5">
      <c r="A404" s="513">
        <f t="shared" si="12"/>
        <v>55224</v>
      </c>
      <c r="B404" s="524">
        <f t="shared" ref="B404:B467" si="13">B403+C403+$C$13</f>
        <v>1512842.3549356125</v>
      </c>
      <c r="C404" s="524"/>
      <c r="D404"/>
      <c r="E404" s="586"/>
    </row>
    <row r="405" spans="1:5">
      <c r="A405" s="513">
        <f t="shared" si="12"/>
        <v>55254</v>
      </c>
      <c r="B405" s="524">
        <f t="shared" si="13"/>
        <v>1514842.3549356125</v>
      </c>
      <c r="C405" s="524"/>
      <c r="D405"/>
      <c r="E405" s="586"/>
    </row>
    <row r="406" spans="1:5">
      <c r="A406" s="513">
        <f t="shared" si="12"/>
        <v>55284</v>
      </c>
      <c r="B406" s="524">
        <f t="shared" si="13"/>
        <v>1516842.3549356125</v>
      </c>
      <c r="C406" s="524"/>
      <c r="D406"/>
      <c r="E406" s="586"/>
    </row>
    <row r="407" spans="1:5">
      <c r="A407" s="513">
        <f t="shared" si="12"/>
        <v>55314</v>
      </c>
      <c r="B407" s="524">
        <f t="shared" si="13"/>
        <v>1518842.3549356125</v>
      </c>
      <c r="C407" s="524"/>
      <c r="D407"/>
      <c r="E407" s="586"/>
    </row>
    <row r="408" spans="1:5">
      <c r="A408" s="513">
        <f t="shared" si="12"/>
        <v>55344</v>
      </c>
      <c r="B408" s="524">
        <f t="shared" si="13"/>
        <v>1520842.3549356125</v>
      </c>
      <c r="C408" s="524"/>
      <c r="D408"/>
      <c r="E408" s="586"/>
    </row>
    <row r="409" spans="1:5">
      <c r="A409" s="513">
        <f t="shared" si="12"/>
        <v>55374</v>
      </c>
      <c r="B409" s="524">
        <f t="shared" si="13"/>
        <v>1522842.3549356125</v>
      </c>
      <c r="C409" s="524"/>
      <c r="D409"/>
      <c r="E409" s="586"/>
    </row>
    <row r="410" spans="1:5">
      <c r="A410" s="513">
        <f t="shared" si="12"/>
        <v>55404</v>
      </c>
      <c r="B410" s="524">
        <f t="shared" si="13"/>
        <v>1524842.3549356125</v>
      </c>
      <c r="C410" s="524"/>
      <c r="D410"/>
      <c r="E410" s="586"/>
    </row>
    <row r="411" spans="1:5">
      <c r="A411" s="513">
        <f t="shared" si="12"/>
        <v>55434</v>
      </c>
      <c r="B411" s="524">
        <f t="shared" si="13"/>
        <v>1526842.3549356125</v>
      </c>
      <c r="C411" s="524"/>
      <c r="D411"/>
      <c r="E411" s="586"/>
    </row>
    <row r="412" spans="1:5">
      <c r="A412" s="513">
        <f t="shared" si="12"/>
        <v>55464</v>
      </c>
      <c r="B412" s="524">
        <f t="shared" si="13"/>
        <v>1528842.3549356125</v>
      </c>
      <c r="C412" s="524"/>
      <c r="D412"/>
      <c r="E412" s="586"/>
    </row>
    <row r="413" spans="1:5">
      <c r="A413" s="513">
        <f t="shared" si="12"/>
        <v>55494</v>
      </c>
      <c r="B413" s="524">
        <f t="shared" si="13"/>
        <v>1530842.3549356125</v>
      </c>
      <c r="C413" s="524"/>
      <c r="D413"/>
      <c r="E413" s="586"/>
    </row>
    <row r="414" spans="1:5">
      <c r="A414" s="513">
        <f>A413+35</f>
        <v>55529</v>
      </c>
      <c r="B414" s="524">
        <f t="shared" si="13"/>
        <v>1532842.3549356125</v>
      </c>
      <c r="C414" s="524">
        <f>B413*(1+$C$15)-B413</f>
        <v>58172.009487553267</v>
      </c>
      <c r="D414"/>
      <c r="E414" s="586"/>
    </row>
    <row r="415" spans="1:5">
      <c r="A415" s="513">
        <f t="shared" si="12"/>
        <v>55559</v>
      </c>
      <c r="B415" s="524">
        <f t="shared" si="13"/>
        <v>1593014.3644231658</v>
      </c>
      <c r="C415" s="524"/>
      <c r="D415"/>
      <c r="E415" s="586"/>
    </row>
    <row r="416" spans="1:5">
      <c r="A416" s="513">
        <f t="shared" si="12"/>
        <v>55589</v>
      </c>
      <c r="B416" s="524">
        <f t="shared" si="13"/>
        <v>1595014.3644231658</v>
      </c>
      <c r="C416" s="524"/>
      <c r="D416"/>
      <c r="E416" s="586"/>
    </row>
    <row r="417" spans="1:5">
      <c r="A417" s="513">
        <f t="shared" si="12"/>
        <v>55619</v>
      </c>
      <c r="B417" s="524">
        <f t="shared" si="13"/>
        <v>1597014.3644231658</v>
      </c>
      <c r="C417" s="524"/>
      <c r="D417"/>
      <c r="E417" s="586"/>
    </row>
    <row r="418" spans="1:5">
      <c r="A418" s="513">
        <f t="shared" si="12"/>
        <v>55649</v>
      </c>
      <c r="B418" s="524">
        <f t="shared" si="13"/>
        <v>1599014.3644231658</v>
      </c>
      <c r="C418" s="524"/>
      <c r="D418"/>
      <c r="E418" s="586"/>
    </row>
    <row r="419" spans="1:5">
      <c r="A419" s="513">
        <f t="shared" si="12"/>
        <v>55679</v>
      </c>
      <c r="B419" s="524">
        <f t="shared" si="13"/>
        <v>1601014.3644231658</v>
      </c>
      <c r="C419" s="524"/>
      <c r="D419"/>
      <c r="E419" s="586"/>
    </row>
    <row r="420" spans="1:5">
      <c r="A420" s="513">
        <f t="shared" si="12"/>
        <v>55709</v>
      </c>
      <c r="B420" s="524">
        <f t="shared" si="13"/>
        <v>1603014.3644231658</v>
      </c>
      <c r="C420" s="524"/>
      <c r="D420"/>
      <c r="E420" s="586"/>
    </row>
    <row r="421" spans="1:5">
      <c r="A421" s="513">
        <f t="shared" si="12"/>
        <v>55739</v>
      </c>
      <c r="B421" s="524">
        <f t="shared" si="13"/>
        <v>1605014.3644231658</v>
      </c>
      <c r="C421" s="524"/>
      <c r="D421"/>
      <c r="E421" s="586"/>
    </row>
    <row r="422" spans="1:5">
      <c r="A422" s="513">
        <f t="shared" si="12"/>
        <v>55769</v>
      </c>
      <c r="B422" s="524">
        <f t="shared" si="13"/>
        <v>1607014.3644231658</v>
      </c>
      <c r="C422" s="524"/>
      <c r="D422"/>
      <c r="E422" s="586"/>
    </row>
    <row r="423" spans="1:5">
      <c r="A423" s="513">
        <f t="shared" si="12"/>
        <v>55799</v>
      </c>
      <c r="B423" s="524">
        <f t="shared" si="13"/>
        <v>1609014.3644231658</v>
      </c>
      <c r="C423" s="524"/>
      <c r="D423"/>
      <c r="E423" s="586"/>
    </row>
    <row r="424" spans="1:5">
      <c r="A424" s="513">
        <f t="shared" si="12"/>
        <v>55829</v>
      </c>
      <c r="B424" s="524">
        <f t="shared" si="13"/>
        <v>1611014.3644231658</v>
      </c>
      <c r="C424" s="524"/>
      <c r="D424"/>
      <c r="E424" s="586"/>
    </row>
    <row r="425" spans="1:5">
      <c r="A425" s="513">
        <f t="shared" si="12"/>
        <v>55859</v>
      </c>
      <c r="B425" s="524">
        <f t="shared" si="13"/>
        <v>1613014.3644231658</v>
      </c>
      <c r="C425" s="524"/>
      <c r="D425"/>
      <c r="E425" s="586"/>
    </row>
    <row r="426" spans="1:5">
      <c r="A426" s="513">
        <f>A425+35</f>
        <v>55894</v>
      </c>
      <c r="B426" s="524">
        <f t="shared" si="13"/>
        <v>1615014.3644231658</v>
      </c>
      <c r="C426" s="524">
        <f>B425*(1+$C$15)-B425</f>
        <v>61294.545848080423</v>
      </c>
      <c r="D426"/>
      <c r="E426" s="586"/>
    </row>
    <row r="427" spans="1:5">
      <c r="A427" s="513">
        <f t="shared" si="12"/>
        <v>55924</v>
      </c>
      <c r="B427" s="524">
        <f t="shared" si="13"/>
        <v>1678308.9102712462</v>
      </c>
      <c r="C427" s="524"/>
      <c r="D427"/>
      <c r="E427" s="586"/>
    </row>
    <row r="428" spans="1:5">
      <c r="A428" s="513">
        <f t="shared" si="12"/>
        <v>55954</v>
      </c>
      <c r="B428" s="524">
        <f t="shared" si="13"/>
        <v>1680308.9102712462</v>
      </c>
      <c r="C428" s="524"/>
      <c r="D428"/>
      <c r="E428" s="586"/>
    </row>
    <row r="429" spans="1:5">
      <c r="A429" s="513">
        <f t="shared" si="12"/>
        <v>55984</v>
      </c>
      <c r="B429" s="524">
        <f t="shared" si="13"/>
        <v>1682308.9102712462</v>
      </c>
      <c r="C429" s="524"/>
      <c r="D429"/>
      <c r="E429" s="586"/>
    </row>
    <row r="430" spans="1:5">
      <c r="A430" s="513">
        <f t="shared" si="12"/>
        <v>56014</v>
      </c>
      <c r="B430" s="524">
        <f t="shared" si="13"/>
        <v>1684308.9102712462</v>
      </c>
      <c r="C430" s="524"/>
      <c r="D430"/>
      <c r="E430" s="586"/>
    </row>
    <row r="431" spans="1:5">
      <c r="A431" s="513">
        <f t="shared" si="12"/>
        <v>56044</v>
      </c>
      <c r="B431" s="524">
        <f t="shared" si="13"/>
        <v>1686308.9102712462</v>
      </c>
      <c r="C431" s="524"/>
      <c r="D431"/>
      <c r="E431" s="586"/>
    </row>
    <row r="432" spans="1:5">
      <c r="A432" s="513">
        <f t="shared" si="12"/>
        <v>56074</v>
      </c>
      <c r="B432" s="524">
        <f t="shared" si="13"/>
        <v>1688308.9102712462</v>
      </c>
      <c r="C432" s="524"/>
      <c r="D432"/>
      <c r="E432" s="586"/>
    </row>
    <row r="433" spans="1:5">
      <c r="A433" s="513">
        <f t="shared" si="12"/>
        <v>56104</v>
      </c>
      <c r="B433" s="524">
        <f t="shared" si="13"/>
        <v>1690308.9102712462</v>
      </c>
      <c r="C433" s="524"/>
      <c r="D433"/>
      <c r="E433" s="586"/>
    </row>
    <row r="434" spans="1:5">
      <c r="A434" s="513">
        <f t="shared" si="12"/>
        <v>56134</v>
      </c>
      <c r="B434" s="524">
        <f t="shared" si="13"/>
        <v>1692308.9102712462</v>
      </c>
      <c r="C434" s="524"/>
      <c r="D434"/>
      <c r="E434" s="586"/>
    </row>
    <row r="435" spans="1:5">
      <c r="A435" s="513">
        <f t="shared" si="12"/>
        <v>56164</v>
      </c>
      <c r="B435" s="524">
        <f t="shared" si="13"/>
        <v>1694308.9102712462</v>
      </c>
      <c r="C435" s="524"/>
      <c r="D435"/>
      <c r="E435" s="586"/>
    </row>
    <row r="436" spans="1:5">
      <c r="A436" s="513">
        <f t="shared" si="12"/>
        <v>56194</v>
      </c>
      <c r="B436" s="524">
        <f t="shared" si="13"/>
        <v>1696308.9102712462</v>
      </c>
      <c r="C436" s="524"/>
      <c r="D436"/>
      <c r="E436" s="586"/>
    </row>
    <row r="437" spans="1:5">
      <c r="A437" s="513">
        <f t="shared" si="12"/>
        <v>56224</v>
      </c>
      <c r="B437" s="524">
        <f t="shared" si="13"/>
        <v>1698308.9102712462</v>
      </c>
      <c r="C437" s="524"/>
      <c r="D437"/>
      <c r="E437" s="586"/>
    </row>
    <row r="438" spans="1:5">
      <c r="A438" s="513">
        <f>A437+35</f>
        <v>56259</v>
      </c>
      <c r="B438" s="524">
        <f t="shared" si="13"/>
        <v>1700308.9102712462</v>
      </c>
      <c r="C438" s="524">
        <f>B437*(1+$C$15)-B437</f>
        <v>64535.738590307301</v>
      </c>
      <c r="D438"/>
      <c r="E438" s="586"/>
    </row>
    <row r="439" spans="1:5">
      <c r="A439" s="513">
        <f t="shared" si="12"/>
        <v>56289</v>
      </c>
      <c r="B439" s="524">
        <f t="shared" si="13"/>
        <v>1766844.6488615535</v>
      </c>
      <c r="C439" s="524"/>
      <c r="D439"/>
      <c r="E439" s="586"/>
    </row>
    <row r="440" spans="1:5">
      <c r="A440" s="513">
        <f t="shared" si="12"/>
        <v>56319</v>
      </c>
      <c r="B440" s="524">
        <f t="shared" si="13"/>
        <v>1768844.6488615535</v>
      </c>
      <c r="C440" s="524"/>
      <c r="D440"/>
      <c r="E440" s="586"/>
    </row>
    <row r="441" spans="1:5">
      <c r="A441" s="513">
        <f t="shared" si="12"/>
        <v>56349</v>
      </c>
      <c r="B441" s="524">
        <f t="shared" si="13"/>
        <v>1770844.6488615535</v>
      </c>
      <c r="C441" s="524"/>
      <c r="D441"/>
      <c r="E441" s="586"/>
    </row>
    <row r="442" spans="1:5">
      <c r="A442" s="513">
        <f t="shared" si="12"/>
        <v>56379</v>
      </c>
      <c r="B442" s="524">
        <f t="shared" si="13"/>
        <v>1772844.6488615535</v>
      </c>
      <c r="C442" s="524"/>
      <c r="D442"/>
      <c r="E442" s="586"/>
    </row>
    <row r="443" spans="1:5">
      <c r="A443" s="513">
        <f t="shared" si="12"/>
        <v>56409</v>
      </c>
      <c r="B443" s="524">
        <f t="shared" si="13"/>
        <v>1774844.6488615535</v>
      </c>
      <c r="C443" s="524"/>
      <c r="D443"/>
      <c r="E443" s="586"/>
    </row>
    <row r="444" spans="1:5">
      <c r="A444" s="513">
        <f t="shared" si="12"/>
        <v>56439</v>
      </c>
      <c r="B444" s="524">
        <f t="shared" si="13"/>
        <v>1776844.6488615535</v>
      </c>
      <c r="C444" s="524"/>
      <c r="D444"/>
      <c r="E444" s="586"/>
    </row>
    <row r="445" spans="1:5">
      <c r="A445" s="513">
        <f t="shared" si="12"/>
        <v>56469</v>
      </c>
      <c r="B445" s="524">
        <f t="shared" si="13"/>
        <v>1778844.6488615535</v>
      </c>
      <c r="C445" s="524"/>
      <c r="D445"/>
      <c r="E445" s="586"/>
    </row>
    <row r="446" spans="1:5">
      <c r="A446" s="513">
        <f t="shared" si="12"/>
        <v>56499</v>
      </c>
      <c r="B446" s="524">
        <f t="shared" si="13"/>
        <v>1780844.6488615535</v>
      </c>
      <c r="C446" s="524"/>
      <c r="D446"/>
      <c r="E446" s="586"/>
    </row>
    <row r="447" spans="1:5">
      <c r="A447" s="513">
        <f t="shared" si="12"/>
        <v>56529</v>
      </c>
      <c r="B447" s="524">
        <f t="shared" si="13"/>
        <v>1782844.6488615535</v>
      </c>
      <c r="C447" s="524"/>
      <c r="D447"/>
      <c r="E447" s="586"/>
    </row>
    <row r="448" spans="1:5">
      <c r="A448" s="513">
        <f t="shared" si="12"/>
        <v>56559</v>
      </c>
      <c r="B448" s="524">
        <f t="shared" si="13"/>
        <v>1784844.6488615535</v>
      </c>
      <c r="C448" s="524"/>
      <c r="D448"/>
      <c r="E448" s="586"/>
    </row>
    <row r="449" spans="1:5">
      <c r="A449" s="513">
        <f t="shared" si="12"/>
        <v>56589</v>
      </c>
      <c r="B449" s="524">
        <f t="shared" si="13"/>
        <v>1786844.6488615535</v>
      </c>
      <c r="C449" s="524"/>
      <c r="D449"/>
      <c r="E449" s="586"/>
    </row>
    <row r="450" spans="1:5">
      <c r="A450" s="513">
        <f>A449+35</f>
        <v>56624</v>
      </c>
      <c r="B450" s="524">
        <f t="shared" si="13"/>
        <v>1788844.6488615535</v>
      </c>
      <c r="C450" s="524">
        <f>B449*(1+$C$15)-B449</f>
        <v>67900.096656739013</v>
      </c>
      <c r="D450"/>
      <c r="E450" s="586"/>
    </row>
    <row r="451" spans="1:5">
      <c r="A451" s="513">
        <f t="shared" si="12"/>
        <v>56654</v>
      </c>
      <c r="B451" s="524">
        <f t="shared" si="13"/>
        <v>1858744.7455182925</v>
      </c>
      <c r="C451" s="524"/>
      <c r="D451"/>
      <c r="E451" s="586"/>
    </row>
    <row r="452" spans="1:5">
      <c r="A452" s="513">
        <f t="shared" si="12"/>
        <v>56684</v>
      </c>
      <c r="B452" s="524">
        <f t="shared" si="13"/>
        <v>1860744.7455182925</v>
      </c>
      <c r="C452" s="524"/>
      <c r="D452"/>
      <c r="E452" s="586"/>
    </row>
    <row r="453" spans="1:5">
      <c r="A453" s="513">
        <f t="shared" si="12"/>
        <v>56714</v>
      </c>
      <c r="B453" s="524">
        <f t="shared" si="13"/>
        <v>1862744.7455182925</v>
      </c>
      <c r="C453" s="524"/>
      <c r="D453"/>
      <c r="E453" s="586"/>
    </row>
    <row r="454" spans="1:5">
      <c r="A454" s="513">
        <f t="shared" si="12"/>
        <v>56744</v>
      </c>
      <c r="B454" s="524">
        <f t="shared" si="13"/>
        <v>1864744.7455182925</v>
      </c>
      <c r="C454" s="524"/>
      <c r="D454"/>
      <c r="E454" s="586"/>
    </row>
    <row r="455" spans="1:5">
      <c r="A455" s="513">
        <f t="shared" si="12"/>
        <v>56774</v>
      </c>
      <c r="B455" s="524">
        <f t="shared" si="13"/>
        <v>1866744.7455182925</v>
      </c>
      <c r="C455" s="524"/>
      <c r="D455"/>
      <c r="E455" s="586"/>
    </row>
    <row r="456" spans="1:5">
      <c r="A456" s="513">
        <f t="shared" si="12"/>
        <v>56804</v>
      </c>
      <c r="B456" s="524">
        <f t="shared" si="13"/>
        <v>1868744.7455182925</v>
      </c>
      <c r="C456" s="524"/>
      <c r="D456"/>
      <c r="E456" s="586"/>
    </row>
    <row r="457" spans="1:5">
      <c r="A457" s="513">
        <f>A456+31</f>
        <v>56835</v>
      </c>
      <c r="B457" s="524">
        <f t="shared" si="13"/>
        <v>1870744.7455182925</v>
      </c>
      <c r="C457" s="524"/>
      <c r="D457"/>
      <c r="E457" s="586"/>
    </row>
    <row r="458" spans="1:5">
      <c r="A458" s="513">
        <f t="shared" si="12"/>
        <v>56865</v>
      </c>
      <c r="B458" s="524">
        <f t="shared" si="13"/>
        <v>1872744.7455182925</v>
      </c>
      <c r="C458" s="524"/>
      <c r="D458"/>
      <c r="E458" s="586"/>
    </row>
    <row r="459" spans="1:5">
      <c r="A459" s="513">
        <f t="shared" si="12"/>
        <v>56895</v>
      </c>
      <c r="B459" s="524">
        <f t="shared" si="13"/>
        <v>1874744.7455182925</v>
      </c>
      <c r="C459" s="524"/>
      <c r="D459"/>
      <c r="E459" s="586"/>
    </row>
    <row r="460" spans="1:5">
      <c r="A460" s="513">
        <f t="shared" si="12"/>
        <v>56925</v>
      </c>
      <c r="B460" s="524">
        <f t="shared" si="13"/>
        <v>1876744.7455182925</v>
      </c>
      <c r="C460" s="524"/>
      <c r="D460"/>
      <c r="E460" s="586"/>
    </row>
    <row r="461" spans="1:5">
      <c r="A461" s="513">
        <f>A460+35</f>
        <v>56960</v>
      </c>
      <c r="B461" s="524">
        <f t="shared" si="13"/>
        <v>1878744.7455182925</v>
      </c>
      <c r="C461" s="524"/>
      <c r="D461"/>
      <c r="E461" s="586"/>
    </row>
    <row r="462" spans="1:5">
      <c r="A462" s="513">
        <f t="shared" si="12"/>
        <v>56990</v>
      </c>
      <c r="B462" s="524">
        <f t="shared" si="13"/>
        <v>1880744.7455182925</v>
      </c>
      <c r="C462" s="524">
        <f>B461*(1+$C$15)-B461</f>
        <v>71392.300329695223</v>
      </c>
      <c r="D462"/>
      <c r="E462" s="586"/>
    </row>
    <row r="463" spans="1:5">
      <c r="A463" s="513">
        <f>A462+30</f>
        <v>57020</v>
      </c>
      <c r="B463" s="524">
        <f t="shared" si="13"/>
        <v>1954137.0458479878</v>
      </c>
      <c r="C463" s="524"/>
      <c r="D463"/>
      <c r="E463" s="586"/>
    </row>
    <row r="464" spans="1:5">
      <c r="A464" s="513">
        <f t="shared" si="12"/>
        <v>57050</v>
      </c>
      <c r="B464" s="524">
        <f t="shared" si="13"/>
        <v>1956137.0458479878</v>
      </c>
      <c r="C464" s="524"/>
      <c r="D464"/>
      <c r="E464" s="586"/>
    </row>
    <row r="465" spans="1:5">
      <c r="A465" s="513">
        <f t="shared" si="12"/>
        <v>57080</v>
      </c>
      <c r="B465" s="524">
        <f t="shared" si="13"/>
        <v>1958137.0458479878</v>
      </c>
      <c r="C465" s="524"/>
      <c r="D465"/>
      <c r="E465" s="586"/>
    </row>
    <row r="466" spans="1:5">
      <c r="A466" s="513">
        <f t="shared" si="12"/>
        <v>57110</v>
      </c>
      <c r="B466" s="524">
        <f t="shared" si="13"/>
        <v>1960137.0458479878</v>
      </c>
      <c r="C466" s="524"/>
      <c r="D466"/>
      <c r="E466" s="586"/>
    </row>
    <row r="467" spans="1:5">
      <c r="A467" s="513">
        <f t="shared" ref="A467:A530" si="14">A466+30</f>
        <v>57140</v>
      </c>
      <c r="B467" s="524">
        <f t="shared" si="13"/>
        <v>1962137.0458479878</v>
      </c>
      <c r="C467" s="524"/>
      <c r="D467"/>
    </row>
    <row r="468" spans="1:5">
      <c r="A468" s="513">
        <f t="shared" si="14"/>
        <v>57170</v>
      </c>
      <c r="B468" s="524">
        <f t="shared" ref="B468:B530" si="15">B467+C467+$C$13</f>
        <v>1964137.0458479878</v>
      </c>
      <c r="C468" s="524"/>
      <c r="D468"/>
    </row>
    <row r="469" spans="1:5">
      <c r="A469" s="513">
        <f t="shared" si="14"/>
        <v>57200</v>
      </c>
      <c r="B469" s="524">
        <f t="shared" si="15"/>
        <v>1966137.0458479878</v>
      </c>
      <c r="C469" s="524"/>
      <c r="D469"/>
    </row>
    <row r="470" spans="1:5">
      <c r="A470" s="513">
        <f t="shared" si="14"/>
        <v>57230</v>
      </c>
      <c r="B470" s="524">
        <f t="shared" si="15"/>
        <v>1968137.0458479878</v>
      </c>
      <c r="C470" s="524"/>
      <c r="D470"/>
    </row>
    <row r="471" spans="1:5">
      <c r="A471" s="513">
        <f t="shared" si="14"/>
        <v>57260</v>
      </c>
      <c r="B471" s="524">
        <f t="shared" si="15"/>
        <v>1970137.0458479878</v>
      </c>
      <c r="C471" s="524"/>
    </row>
    <row r="472" spans="1:5">
      <c r="A472" s="513">
        <f t="shared" si="14"/>
        <v>57290</v>
      </c>
      <c r="B472" s="524">
        <f t="shared" si="15"/>
        <v>1972137.0458479878</v>
      </c>
      <c r="C472" s="524"/>
    </row>
    <row r="473" spans="1:5">
      <c r="A473" s="513">
        <f>A472+35</f>
        <v>57325</v>
      </c>
      <c r="B473" s="524">
        <f t="shared" si="15"/>
        <v>1974137.0458479878</v>
      </c>
      <c r="C473" s="524"/>
    </row>
    <row r="474" spans="1:5">
      <c r="A474" s="513">
        <f t="shared" si="14"/>
        <v>57355</v>
      </c>
      <c r="B474" s="524">
        <f t="shared" si="15"/>
        <v>1976137.0458479878</v>
      </c>
      <c r="C474" s="524">
        <f>B473*(1+$C$15)-B473</f>
        <v>75017.207742223516</v>
      </c>
    </row>
    <row r="475" spans="1:5">
      <c r="A475" s="513">
        <f t="shared" si="14"/>
        <v>57385</v>
      </c>
      <c r="B475" s="524">
        <f t="shared" si="15"/>
        <v>2053154.2535902113</v>
      </c>
      <c r="C475" s="524"/>
    </row>
    <row r="476" spans="1:5">
      <c r="A476" s="513">
        <f t="shared" si="14"/>
        <v>57415</v>
      </c>
      <c r="B476" s="524">
        <f t="shared" si="15"/>
        <v>2055154.2535902113</v>
      </c>
      <c r="C476" s="524"/>
    </row>
    <row r="477" spans="1:5">
      <c r="A477" s="513">
        <f t="shared" si="14"/>
        <v>57445</v>
      </c>
      <c r="B477" s="524">
        <f t="shared" si="15"/>
        <v>2057154.2535902113</v>
      </c>
      <c r="C477" s="524"/>
    </row>
    <row r="478" spans="1:5">
      <c r="A478" s="513">
        <f t="shared" si="14"/>
        <v>57475</v>
      </c>
      <c r="B478" s="524">
        <f t="shared" si="15"/>
        <v>2059154.2535902113</v>
      </c>
      <c r="C478" s="524"/>
    </row>
    <row r="479" spans="1:5">
      <c r="A479" s="513">
        <f t="shared" si="14"/>
        <v>57505</v>
      </c>
      <c r="B479" s="524">
        <f t="shared" si="15"/>
        <v>2061154.2535902113</v>
      </c>
      <c r="C479" s="524"/>
    </row>
    <row r="480" spans="1:5">
      <c r="A480" s="513">
        <f t="shared" si="14"/>
        <v>57535</v>
      </c>
      <c r="B480" s="524">
        <f t="shared" si="15"/>
        <v>2063154.2535902113</v>
      </c>
      <c r="C480" s="524"/>
    </row>
    <row r="481" spans="1:3">
      <c r="A481" s="513">
        <f t="shared" si="14"/>
        <v>57565</v>
      </c>
      <c r="B481" s="524">
        <f t="shared" si="15"/>
        <v>2065154.2535902113</v>
      </c>
      <c r="C481" s="524"/>
    </row>
    <row r="482" spans="1:3">
      <c r="A482" s="513">
        <f t="shared" si="14"/>
        <v>57595</v>
      </c>
      <c r="B482" s="524">
        <f t="shared" si="15"/>
        <v>2067154.2535902113</v>
      </c>
      <c r="C482" s="524"/>
    </row>
    <row r="483" spans="1:3">
      <c r="A483" s="513">
        <f t="shared" si="14"/>
        <v>57625</v>
      </c>
      <c r="B483" s="524">
        <f t="shared" si="15"/>
        <v>2069154.2535902113</v>
      </c>
      <c r="C483" s="524"/>
    </row>
    <row r="484" spans="1:3">
      <c r="A484" s="513">
        <f t="shared" si="14"/>
        <v>57655</v>
      </c>
      <c r="B484" s="524">
        <f t="shared" si="15"/>
        <v>2071154.2535902113</v>
      </c>
      <c r="C484" s="524"/>
    </row>
    <row r="485" spans="1:3">
      <c r="A485" s="513">
        <f>A484+35</f>
        <v>57690</v>
      </c>
      <c r="B485" s="524">
        <f t="shared" si="15"/>
        <v>2073154.2535902113</v>
      </c>
      <c r="C485" s="524"/>
    </row>
    <row r="486" spans="1:3">
      <c r="A486" s="513">
        <f t="shared" si="14"/>
        <v>57720</v>
      </c>
      <c r="B486" s="524">
        <f t="shared" si="15"/>
        <v>2075154.2535902113</v>
      </c>
      <c r="C486" s="524">
        <f>B485*(1+$C$15)-B485</f>
        <v>78779.861636428162</v>
      </c>
    </row>
    <row r="487" spans="1:3">
      <c r="A487" s="513">
        <f t="shared" si="14"/>
        <v>57750</v>
      </c>
      <c r="B487" s="524">
        <f t="shared" si="15"/>
        <v>2155934.1152266394</v>
      </c>
      <c r="C487" s="524"/>
    </row>
    <row r="488" spans="1:3">
      <c r="A488" s="513">
        <f t="shared" si="14"/>
        <v>57780</v>
      </c>
      <c r="B488" s="524">
        <f t="shared" si="15"/>
        <v>2157934.1152266394</v>
      </c>
      <c r="C488" s="524"/>
    </row>
    <row r="489" spans="1:3">
      <c r="A489" s="513">
        <f t="shared" si="14"/>
        <v>57810</v>
      </c>
      <c r="B489" s="524">
        <f t="shared" si="15"/>
        <v>2159934.1152266394</v>
      </c>
      <c r="C489" s="524"/>
    </row>
    <row r="490" spans="1:3">
      <c r="A490" s="513">
        <f t="shared" si="14"/>
        <v>57840</v>
      </c>
      <c r="B490" s="524">
        <f t="shared" si="15"/>
        <v>2161934.1152266394</v>
      </c>
      <c r="C490" s="524"/>
    </row>
    <row r="491" spans="1:3">
      <c r="A491" s="513">
        <f t="shared" si="14"/>
        <v>57870</v>
      </c>
      <c r="B491" s="524">
        <f t="shared" si="15"/>
        <v>2163934.1152266394</v>
      </c>
      <c r="C491" s="524"/>
    </row>
    <row r="492" spans="1:3">
      <c r="A492" s="513">
        <f t="shared" si="14"/>
        <v>57900</v>
      </c>
      <c r="B492" s="524">
        <f t="shared" si="15"/>
        <v>2165934.1152266394</v>
      </c>
      <c r="C492" s="524"/>
    </row>
    <row r="493" spans="1:3">
      <c r="A493" s="513">
        <f t="shared" si="14"/>
        <v>57930</v>
      </c>
      <c r="B493" s="524">
        <f t="shared" si="15"/>
        <v>2167934.1152266394</v>
      </c>
      <c r="C493" s="524"/>
    </row>
    <row r="494" spans="1:3">
      <c r="A494" s="513">
        <f t="shared" si="14"/>
        <v>57960</v>
      </c>
      <c r="B494" s="524">
        <f t="shared" si="15"/>
        <v>2169934.1152266394</v>
      </c>
      <c r="C494" s="524"/>
    </row>
    <row r="495" spans="1:3">
      <c r="A495" s="513">
        <f t="shared" si="14"/>
        <v>57990</v>
      </c>
      <c r="B495" s="524">
        <f t="shared" si="15"/>
        <v>2171934.1152266394</v>
      </c>
      <c r="C495" s="524"/>
    </row>
    <row r="496" spans="1:3">
      <c r="A496" s="513">
        <f t="shared" si="14"/>
        <v>58020</v>
      </c>
      <c r="B496" s="524">
        <f t="shared" si="15"/>
        <v>2173934.1152266394</v>
      </c>
      <c r="C496" s="524"/>
    </row>
    <row r="497" spans="1:3">
      <c r="A497" s="513">
        <f>A496+35</f>
        <v>58055</v>
      </c>
      <c r="B497" s="524">
        <f t="shared" si="15"/>
        <v>2175934.1152266394</v>
      </c>
      <c r="C497" s="524"/>
    </row>
    <row r="498" spans="1:3">
      <c r="A498" s="513">
        <f t="shared" si="14"/>
        <v>58085</v>
      </c>
      <c r="B498" s="524">
        <f t="shared" si="15"/>
        <v>2177934.1152266394</v>
      </c>
      <c r="C498" s="524">
        <f>B497*(1+$C$15)-B497</f>
        <v>82685.496378612239</v>
      </c>
    </row>
    <row r="499" spans="1:3">
      <c r="A499" s="513">
        <f t="shared" si="14"/>
        <v>58115</v>
      </c>
      <c r="B499" s="524">
        <f t="shared" si="15"/>
        <v>2262619.6116052517</v>
      </c>
      <c r="C499" s="524"/>
    </row>
    <row r="500" spans="1:3">
      <c r="A500" s="513">
        <f t="shared" si="14"/>
        <v>58145</v>
      </c>
      <c r="B500" s="524">
        <f t="shared" si="15"/>
        <v>2264619.6116052517</v>
      </c>
      <c r="C500" s="524"/>
    </row>
    <row r="501" spans="1:3">
      <c r="A501" s="513">
        <f t="shared" si="14"/>
        <v>58175</v>
      </c>
      <c r="B501" s="524">
        <f t="shared" si="15"/>
        <v>2266619.6116052517</v>
      </c>
      <c r="C501" s="524"/>
    </row>
    <row r="502" spans="1:3">
      <c r="A502" s="513">
        <f t="shared" si="14"/>
        <v>58205</v>
      </c>
      <c r="B502" s="524">
        <f t="shared" si="15"/>
        <v>2268619.6116052517</v>
      </c>
      <c r="C502" s="524"/>
    </row>
    <row r="503" spans="1:3">
      <c r="A503" s="513">
        <f t="shared" si="14"/>
        <v>58235</v>
      </c>
      <c r="B503" s="524">
        <f t="shared" si="15"/>
        <v>2270619.6116052517</v>
      </c>
      <c r="C503" s="524"/>
    </row>
    <row r="504" spans="1:3">
      <c r="A504" s="513">
        <f t="shared" si="14"/>
        <v>58265</v>
      </c>
      <c r="B504" s="524">
        <f t="shared" si="15"/>
        <v>2272619.6116052517</v>
      </c>
      <c r="C504" s="524"/>
    </row>
    <row r="505" spans="1:3">
      <c r="A505" s="513">
        <f t="shared" si="14"/>
        <v>58295</v>
      </c>
      <c r="B505" s="524">
        <f t="shared" si="15"/>
        <v>2274619.6116052517</v>
      </c>
      <c r="C505" s="524"/>
    </row>
    <row r="506" spans="1:3">
      <c r="A506" s="513">
        <f t="shared" si="14"/>
        <v>58325</v>
      </c>
      <c r="B506" s="524">
        <f t="shared" si="15"/>
        <v>2276619.6116052517</v>
      </c>
      <c r="C506" s="524"/>
    </row>
    <row r="507" spans="1:3">
      <c r="A507" s="513">
        <f t="shared" si="14"/>
        <v>58355</v>
      </c>
      <c r="B507" s="524">
        <f t="shared" si="15"/>
        <v>2278619.6116052517</v>
      </c>
      <c r="C507" s="524"/>
    </row>
    <row r="508" spans="1:3">
      <c r="A508" s="513">
        <f t="shared" si="14"/>
        <v>58385</v>
      </c>
      <c r="B508" s="524">
        <f t="shared" si="15"/>
        <v>2280619.6116052517</v>
      </c>
      <c r="C508" s="524"/>
    </row>
    <row r="509" spans="1:3">
      <c r="A509" s="513">
        <f>A508+35</f>
        <v>58420</v>
      </c>
      <c r="B509" s="524">
        <f t="shared" si="15"/>
        <v>2282619.6116052517</v>
      </c>
      <c r="C509" s="524"/>
    </row>
    <row r="510" spans="1:3">
      <c r="A510" s="513">
        <f t="shared" si="14"/>
        <v>58450</v>
      </c>
      <c r="B510" s="524">
        <f t="shared" si="15"/>
        <v>2284619.6116052517</v>
      </c>
      <c r="C510" s="524">
        <f>B509*(1+$C$15)-B509</f>
        <v>86739.545240999665</v>
      </c>
    </row>
    <row r="511" spans="1:3">
      <c r="A511" s="513">
        <f t="shared" si="14"/>
        <v>58480</v>
      </c>
      <c r="B511" s="524">
        <f t="shared" si="15"/>
        <v>2373359.1568462513</v>
      </c>
      <c r="C511" s="524"/>
    </row>
    <row r="512" spans="1:3">
      <c r="A512" s="513">
        <f t="shared" si="14"/>
        <v>58510</v>
      </c>
      <c r="B512" s="524">
        <f t="shared" si="15"/>
        <v>2375359.1568462513</v>
      </c>
      <c r="C512" s="524"/>
    </row>
    <row r="513" spans="1:3">
      <c r="A513" s="513">
        <f t="shared" si="14"/>
        <v>58540</v>
      </c>
      <c r="B513" s="524">
        <f t="shared" si="15"/>
        <v>2377359.1568462513</v>
      </c>
      <c r="C513" s="524"/>
    </row>
    <row r="514" spans="1:3">
      <c r="A514" s="513">
        <f t="shared" si="14"/>
        <v>58570</v>
      </c>
      <c r="B514" s="524">
        <f t="shared" si="15"/>
        <v>2379359.1568462513</v>
      </c>
      <c r="C514" s="524"/>
    </row>
    <row r="515" spans="1:3">
      <c r="A515" s="513">
        <f t="shared" si="14"/>
        <v>58600</v>
      </c>
      <c r="B515" s="524">
        <f t="shared" si="15"/>
        <v>2381359.1568462513</v>
      </c>
      <c r="C515" s="524"/>
    </row>
    <row r="516" spans="1:3">
      <c r="A516" s="513">
        <f t="shared" si="14"/>
        <v>58630</v>
      </c>
      <c r="B516" s="524">
        <f t="shared" si="15"/>
        <v>2383359.1568462513</v>
      </c>
      <c r="C516" s="524"/>
    </row>
    <row r="517" spans="1:3">
      <c r="A517" s="513">
        <f t="shared" si="14"/>
        <v>58660</v>
      </c>
      <c r="B517" s="524">
        <f t="shared" si="15"/>
        <v>2385359.1568462513</v>
      </c>
      <c r="C517" s="524"/>
    </row>
    <row r="518" spans="1:3">
      <c r="A518" s="513">
        <f t="shared" si="14"/>
        <v>58690</v>
      </c>
      <c r="B518" s="524">
        <f t="shared" si="15"/>
        <v>2387359.1568462513</v>
      </c>
      <c r="C518" s="524"/>
    </row>
    <row r="519" spans="1:3">
      <c r="A519" s="513">
        <f t="shared" si="14"/>
        <v>58720</v>
      </c>
      <c r="B519" s="524">
        <f t="shared" si="15"/>
        <v>2389359.1568462513</v>
      </c>
      <c r="C519" s="524"/>
    </row>
    <row r="520" spans="1:3">
      <c r="A520" s="513">
        <f t="shared" si="14"/>
        <v>58750</v>
      </c>
      <c r="B520" s="524">
        <f t="shared" si="15"/>
        <v>2391359.1568462513</v>
      </c>
      <c r="C520" s="524"/>
    </row>
    <row r="521" spans="1:3">
      <c r="A521" s="513">
        <f>A520+35</f>
        <v>58785</v>
      </c>
      <c r="B521" s="524">
        <f t="shared" si="15"/>
        <v>2393359.1568462513</v>
      </c>
      <c r="C521" s="524"/>
    </row>
    <row r="522" spans="1:3">
      <c r="A522" s="513">
        <f t="shared" si="14"/>
        <v>58815</v>
      </c>
      <c r="B522" s="524">
        <f t="shared" si="15"/>
        <v>2395359.1568462513</v>
      </c>
      <c r="C522" s="524">
        <f>B521*(1+$C$15)-B521</f>
        <v>90947.647960157599</v>
      </c>
    </row>
    <row r="523" spans="1:3">
      <c r="A523" s="513">
        <f t="shared" si="14"/>
        <v>58845</v>
      </c>
      <c r="B523" s="524">
        <f t="shared" si="15"/>
        <v>2488306.8048064089</v>
      </c>
      <c r="C523" s="524"/>
    </row>
    <row r="524" spans="1:3">
      <c r="A524" s="513">
        <f t="shared" si="14"/>
        <v>58875</v>
      </c>
      <c r="B524" s="524">
        <f t="shared" si="15"/>
        <v>2490306.8048064089</v>
      </c>
      <c r="C524" s="524"/>
    </row>
    <row r="525" spans="1:3">
      <c r="A525" s="513">
        <f t="shared" si="14"/>
        <v>58905</v>
      </c>
      <c r="B525" s="524">
        <f t="shared" si="15"/>
        <v>2492306.8048064089</v>
      </c>
      <c r="C525" s="524"/>
    </row>
    <row r="526" spans="1:3">
      <c r="A526" s="513">
        <f t="shared" si="14"/>
        <v>58935</v>
      </c>
      <c r="B526" s="524">
        <f t="shared" si="15"/>
        <v>2494306.8048064089</v>
      </c>
      <c r="C526" s="524"/>
    </row>
    <row r="527" spans="1:3">
      <c r="A527" s="513">
        <f t="shared" si="14"/>
        <v>58965</v>
      </c>
      <c r="B527" s="524">
        <f t="shared" si="15"/>
        <v>2496306.8048064089</v>
      </c>
      <c r="C527" s="524"/>
    </row>
    <row r="528" spans="1:3">
      <c r="A528" s="513">
        <f t="shared" si="14"/>
        <v>58995</v>
      </c>
      <c r="B528" s="524">
        <f t="shared" si="15"/>
        <v>2498306.8048064089</v>
      </c>
      <c r="C528" s="524"/>
    </row>
    <row r="529" spans="1:15">
      <c r="A529" s="513">
        <f t="shared" si="14"/>
        <v>59025</v>
      </c>
      <c r="B529" s="524">
        <f t="shared" si="15"/>
        <v>2500306.8048064089</v>
      </c>
      <c r="C529" s="524"/>
    </row>
    <row r="530" spans="1:15">
      <c r="A530" s="513">
        <f t="shared" si="14"/>
        <v>59055</v>
      </c>
      <c r="B530" s="524">
        <f t="shared" si="15"/>
        <v>2502306.8048064089</v>
      </c>
      <c r="C530" s="524">
        <f>B529*(1+$C$15)-B529</f>
        <v>95011.658582643606</v>
      </c>
    </row>
    <row r="531" spans="1:15">
      <c r="B531" s="588"/>
      <c r="O531"/>
    </row>
    <row r="532" spans="1:15">
      <c r="B532" s="588"/>
      <c r="O532"/>
    </row>
    <row r="533" spans="1:15">
      <c r="B533" s="647"/>
      <c r="O533"/>
    </row>
    <row r="534" spans="1:15">
      <c r="B534" s="588"/>
      <c r="O534"/>
    </row>
    <row r="535" spans="1:15">
      <c r="B535" s="588"/>
      <c r="O535"/>
    </row>
    <row r="536" spans="1:15">
      <c r="B536" s="588"/>
      <c r="O536"/>
    </row>
    <row r="537" spans="1:15">
      <c r="C537" s="588"/>
    </row>
    <row r="538" spans="1:15">
      <c r="C538" s="588"/>
    </row>
    <row r="539" spans="1:15">
      <c r="C539" s="588"/>
    </row>
    <row r="540" spans="1:15">
      <c r="C540" s="588"/>
    </row>
    <row r="541" spans="1:15">
      <c r="C541" s="588"/>
    </row>
    <row r="542" spans="1:15">
      <c r="C542" s="588"/>
    </row>
    <row r="543" spans="1:15">
      <c r="C543" s="588"/>
    </row>
    <row r="544" spans="1:15">
      <c r="C544" s="588"/>
    </row>
    <row r="545" spans="3:3">
      <c r="C545" s="588"/>
    </row>
    <row r="546" spans="3:3">
      <c r="C546" s="588"/>
    </row>
    <row r="547" spans="3:3">
      <c r="C547" s="588"/>
    </row>
  </sheetData>
  <mergeCells count="3">
    <mergeCell ref="A1:T3"/>
    <mergeCell ref="A4:T4"/>
    <mergeCell ref="A5:T5"/>
  </mergeCells>
  <pageMargins left="0.7" right="0.7" top="0.75" bottom="0.75" header="0.3" footer="0.3"/>
  <pageSetup paperSize="9" orientation="portrait" horizontalDpi="4294967294"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5" sqref="A25:F25"/>
    </sheetView>
  </sheetViews>
  <sheetFormatPr defaultRowHeight="14.4"/>
  <cols>
    <col min="1" max="1" width="30.21875" customWidth="1"/>
    <col min="2" max="2" width="52.88671875" customWidth="1"/>
    <col min="3" max="3" width="4.6640625" customWidth="1"/>
    <col min="4" max="4" width="4.44140625" customWidth="1"/>
    <col min="5" max="5" width="34.6640625" customWidth="1"/>
    <col min="6" max="6" width="47.109375" customWidth="1"/>
    <col min="7" max="7" width="18.5546875" customWidth="1"/>
  </cols>
  <sheetData>
    <row r="1" spans="1:7" ht="14.4" customHeight="1">
      <c r="A1" s="953" t="s">
        <v>677</v>
      </c>
      <c r="B1" s="954"/>
      <c r="C1" s="954"/>
      <c r="D1" s="954"/>
      <c r="E1" s="954"/>
      <c r="F1" s="954"/>
      <c r="G1" s="955"/>
    </row>
    <row r="2" spans="1:7">
      <c r="A2" s="956"/>
      <c r="B2" s="957"/>
      <c r="C2" s="957"/>
      <c r="D2" s="957"/>
      <c r="E2" s="957"/>
      <c r="F2" s="957"/>
      <c r="G2" s="958"/>
    </row>
    <row r="3" spans="1:7" ht="15" thickBot="1">
      <c r="A3" s="959"/>
      <c r="B3" s="960"/>
      <c r="C3" s="960"/>
      <c r="D3" s="960"/>
      <c r="E3" s="960"/>
      <c r="F3" s="960"/>
      <c r="G3" s="961"/>
    </row>
    <row r="4" spans="1:7" ht="15" thickBot="1">
      <c r="A4" s="971" t="s">
        <v>674</v>
      </c>
      <c r="B4" s="972"/>
      <c r="C4" s="972"/>
      <c r="D4" s="972"/>
      <c r="E4" s="972"/>
      <c r="F4" s="972"/>
      <c r="G4" s="973"/>
    </row>
    <row r="5" spans="1:7" ht="15" thickBot="1">
      <c r="A5" s="968" t="s">
        <v>773</v>
      </c>
      <c r="B5" s="969"/>
      <c r="C5" s="969"/>
      <c r="D5" s="969"/>
      <c r="E5" s="969"/>
      <c r="F5" s="969"/>
      <c r="G5" s="970"/>
    </row>
    <row r="6" spans="1:7" ht="15" thickBot="1"/>
    <row r="7" spans="1:7" ht="15" thickBot="1">
      <c r="A7" s="1174" t="s">
        <v>797</v>
      </c>
      <c r="B7" s="1175"/>
      <c r="C7" s="1175"/>
      <c r="D7" s="1175"/>
      <c r="E7" s="1175"/>
      <c r="F7" s="1175"/>
      <c r="G7" s="1176"/>
    </row>
    <row r="8" spans="1:7" ht="15.6">
      <c r="A8" s="623" t="s">
        <v>556</v>
      </c>
      <c r="B8" s="624" t="s">
        <v>539</v>
      </c>
      <c r="C8" s="625" t="s">
        <v>540</v>
      </c>
      <c r="E8" s="623" t="s">
        <v>556</v>
      </c>
      <c r="F8" s="624" t="s">
        <v>539</v>
      </c>
      <c r="G8" s="625" t="s">
        <v>540</v>
      </c>
    </row>
    <row r="9" spans="1:7" ht="15.6">
      <c r="A9" s="610" t="s">
        <v>541</v>
      </c>
      <c r="B9" s="612" t="s">
        <v>539</v>
      </c>
      <c r="C9" s="613"/>
      <c r="E9" s="610" t="s">
        <v>541</v>
      </c>
      <c r="F9" s="612"/>
      <c r="G9" s="613"/>
    </row>
    <row r="10" spans="1:7" ht="15.6">
      <c r="A10" s="610" t="s">
        <v>542</v>
      </c>
      <c r="B10" s="612"/>
      <c r="C10" s="613" t="s">
        <v>540</v>
      </c>
      <c r="E10" s="610" t="s">
        <v>542</v>
      </c>
      <c r="F10" s="612"/>
      <c r="G10" s="613"/>
    </row>
    <row r="11" spans="1:7" ht="15.6">
      <c r="A11" s="610" t="s">
        <v>543</v>
      </c>
      <c r="B11" s="612" t="s">
        <v>539</v>
      </c>
      <c r="C11" s="613"/>
      <c r="E11" s="610" t="s">
        <v>543</v>
      </c>
      <c r="F11" s="612"/>
      <c r="G11" s="613"/>
    </row>
    <row r="12" spans="1:7" ht="15.6">
      <c r="A12" s="610" t="s">
        <v>544</v>
      </c>
      <c r="B12" s="612" t="s">
        <v>539</v>
      </c>
      <c r="C12" s="613"/>
      <c r="E12" s="610" t="s">
        <v>544</v>
      </c>
      <c r="F12" s="612"/>
      <c r="G12" s="613"/>
    </row>
    <row r="13" spans="1:7" ht="15.6">
      <c r="A13" s="610" t="s">
        <v>545</v>
      </c>
      <c r="B13" s="612" t="s">
        <v>539</v>
      </c>
      <c r="C13" s="613"/>
      <c r="E13" s="610" t="s">
        <v>545</v>
      </c>
      <c r="F13" s="612"/>
      <c r="G13" s="613"/>
    </row>
    <row r="14" spans="1:7" ht="15.6">
      <c r="A14" s="610" t="s">
        <v>546</v>
      </c>
      <c r="B14" s="612" t="s">
        <v>539</v>
      </c>
      <c r="C14" s="613"/>
      <c r="E14" s="610" t="s">
        <v>546</v>
      </c>
      <c r="F14" s="612"/>
      <c r="G14" s="613"/>
    </row>
    <row r="15" spans="1:7" ht="16.2" customHeight="1">
      <c r="A15" s="610" t="s">
        <v>547</v>
      </c>
      <c r="B15" s="612"/>
      <c r="C15" s="613" t="s">
        <v>540</v>
      </c>
      <c r="E15" s="610" t="s">
        <v>547</v>
      </c>
      <c r="F15" s="612"/>
      <c r="G15" s="613"/>
    </row>
    <row r="16" spans="1:7" ht="15.6">
      <c r="A16" s="610" t="s">
        <v>548</v>
      </c>
      <c r="B16" s="612" t="s">
        <v>539</v>
      </c>
      <c r="C16" s="613"/>
      <c r="E16" s="610" t="s">
        <v>548</v>
      </c>
      <c r="F16" s="612"/>
      <c r="G16" s="613"/>
    </row>
    <row r="17" spans="1:7" ht="15.6">
      <c r="A17" s="610" t="s">
        <v>549</v>
      </c>
      <c r="B17" s="612" t="s">
        <v>539</v>
      </c>
      <c r="C17" s="613"/>
      <c r="E17" s="610" t="s">
        <v>549</v>
      </c>
      <c r="F17" s="612"/>
      <c r="G17" s="613"/>
    </row>
    <row r="18" spans="1:7" ht="15.6">
      <c r="A18" s="610" t="s">
        <v>550</v>
      </c>
      <c r="B18" s="612" t="s">
        <v>539</v>
      </c>
      <c r="C18" s="613"/>
      <c r="E18" s="610" t="s">
        <v>550</v>
      </c>
      <c r="F18" s="612"/>
      <c r="G18" s="613"/>
    </row>
    <row r="19" spans="1:7" ht="15.6">
      <c r="A19" s="610" t="s">
        <v>551</v>
      </c>
      <c r="B19" s="612" t="s">
        <v>539</v>
      </c>
      <c r="C19" s="613"/>
      <c r="E19" s="610" t="s">
        <v>551</v>
      </c>
      <c r="F19" s="612"/>
      <c r="G19" s="613"/>
    </row>
    <row r="20" spans="1:7" ht="15.6">
      <c r="A20" s="610" t="s">
        <v>552</v>
      </c>
      <c r="B20" s="612"/>
      <c r="C20" s="613" t="s">
        <v>540</v>
      </c>
      <c r="E20" s="610" t="s">
        <v>552</v>
      </c>
      <c r="F20" s="612"/>
      <c r="G20" s="613"/>
    </row>
    <row r="21" spans="1:7" ht="27.6">
      <c r="A21" s="610" t="s">
        <v>553</v>
      </c>
      <c r="B21" s="612" t="s">
        <v>539</v>
      </c>
      <c r="C21" s="613"/>
      <c r="E21" s="610" t="s">
        <v>553</v>
      </c>
      <c r="F21" s="612"/>
      <c r="G21" s="613"/>
    </row>
    <row r="22" spans="1:7" ht="15.6">
      <c r="A22" s="610" t="s">
        <v>554</v>
      </c>
      <c r="B22" s="612"/>
      <c r="C22" s="613" t="s">
        <v>540</v>
      </c>
      <c r="E22" s="610" t="s">
        <v>554</v>
      </c>
      <c r="F22" s="612"/>
      <c r="G22" s="613"/>
    </row>
    <row r="23" spans="1:7" ht="15.6">
      <c r="A23" s="611" t="s">
        <v>555</v>
      </c>
      <c r="B23" s="614" t="s">
        <v>539</v>
      </c>
      <c r="C23" s="615"/>
      <c r="E23" s="611" t="s">
        <v>555</v>
      </c>
      <c r="F23" s="614"/>
      <c r="G23" s="615"/>
    </row>
    <row r="24" spans="1:7" ht="15" thickBot="1"/>
    <row r="25" spans="1:7" ht="16.8" customHeight="1" thickBot="1">
      <c r="A25" s="1168" t="s">
        <v>798</v>
      </c>
      <c r="B25" s="1169"/>
      <c r="C25" s="1169"/>
      <c r="D25" s="1169"/>
      <c r="E25" s="1169"/>
      <c r="F25" s="1170"/>
    </row>
    <row r="26" spans="1:7" ht="27.6" customHeight="1">
      <c r="A26" s="697" t="s">
        <v>557</v>
      </c>
      <c r="B26" s="1172" t="s">
        <v>559</v>
      </c>
      <c r="E26" s="693" t="s">
        <v>557</v>
      </c>
      <c r="F26" s="693" t="s">
        <v>559</v>
      </c>
    </row>
    <row r="27" spans="1:7">
      <c r="A27" s="621" t="s">
        <v>558</v>
      </c>
      <c r="B27" s="1173"/>
      <c r="E27" s="622" t="s">
        <v>558</v>
      </c>
      <c r="F27" s="622"/>
    </row>
    <row r="28" spans="1:7" ht="27.6">
      <c r="A28" s="1171">
        <v>1</v>
      </c>
      <c r="B28" s="617" t="s">
        <v>560</v>
      </c>
      <c r="E28" s="619">
        <v>1</v>
      </c>
      <c r="F28" s="619" t="s">
        <v>560</v>
      </c>
    </row>
    <row r="29" spans="1:7" ht="27.6">
      <c r="A29" s="1171"/>
      <c r="B29" s="618" t="s">
        <v>561</v>
      </c>
      <c r="E29" s="619"/>
      <c r="F29" s="620" t="s">
        <v>570</v>
      </c>
    </row>
    <row r="30" spans="1:7" ht="27.6">
      <c r="A30" s="1171">
        <v>2</v>
      </c>
      <c r="B30" s="617" t="s">
        <v>562</v>
      </c>
      <c r="E30" s="619">
        <v>2</v>
      </c>
      <c r="F30" s="619" t="s">
        <v>562</v>
      </c>
    </row>
    <row r="31" spans="1:7" ht="27.6">
      <c r="A31" s="1171"/>
      <c r="B31" s="618" t="s">
        <v>561</v>
      </c>
      <c r="E31" s="619"/>
      <c r="F31" s="620" t="s">
        <v>571</v>
      </c>
    </row>
    <row r="32" spans="1:7" ht="27.6">
      <c r="A32" s="1171">
        <v>3</v>
      </c>
      <c r="B32" s="617" t="s">
        <v>563</v>
      </c>
      <c r="E32" s="619">
        <v>3</v>
      </c>
      <c r="F32" s="619" t="s">
        <v>563</v>
      </c>
    </row>
    <row r="33" spans="1:6" ht="27.6">
      <c r="A33" s="1171"/>
      <c r="B33" s="618" t="s">
        <v>561</v>
      </c>
      <c r="E33" s="619"/>
      <c r="F33" s="620" t="s">
        <v>572</v>
      </c>
    </row>
    <row r="34" spans="1:6" ht="41.4">
      <c r="A34" s="1171">
        <v>4</v>
      </c>
      <c r="B34" s="617" t="s">
        <v>564</v>
      </c>
      <c r="E34" s="619">
        <v>4</v>
      </c>
      <c r="F34" s="619" t="s">
        <v>564</v>
      </c>
    </row>
    <row r="35" spans="1:6" ht="41.4">
      <c r="A35" s="1171"/>
      <c r="B35" s="618" t="s">
        <v>561</v>
      </c>
      <c r="E35" s="619"/>
      <c r="F35" s="620" t="s">
        <v>573</v>
      </c>
    </row>
    <row r="36" spans="1:6" ht="27.6">
      <c r="A36" s="1171">
        <v>5</v>
      </c>
      <c r="B36" s="617" t="s">
        <v>565</v>
      </c>
      <c r="E36" s="619">
        <v>5</v>
      </c>
      <c r="F36" s="619" t="s">
        <v>565</v>
      </c>
    </row>
    <row r="37" spans="1:6" ht="41.4">
      <c r="A37" s="1171"/>
      <c r="B37" s="618" t="s">
        <v>561</v>
      </c>
      <c r="E37" s="619"/>
      <c r="F37" s="620" t="s">
        <v>574</v>
      </c>
    </row>
    <row r="38" spans="1:6" ht="41.4">
      <c r="A38" s="1171">
        <v>6</v>
      </c>
      <c r="B38" s="617" t="s">
        <v>566</v>
      </c>
      <c r="E38" s="619">
        <v>6</v>
      </c>
      <c r="F38" s="619" t="s">
        <v>566</v>
      </c>
    </row>
    <row r="39" spans="1:6" ht="27.6">
      <c r="A39" s="1171"/>
      <c r="B39" s="618" t="s">
        <v>561</v>
      </c>
      <c r="E39" s="619"/>
      <c r="F39" s="620" t="s">
        <v>575</v>
      </c>
    </row>
    <row r="40" spans="1:6" ht="27.6">
      <c r="A40" s="1171">
        <v>7</v>
      </c>
      <c r="B40" s="617" t="s">
        <v>567</v>
      </c>
      <c r="E40" s="619">
        <v>7</v>
      </c>
      <c r="F40" s="619" t="s">
        <v>567</v>
      </c>
    </row>
    <row r="41" spans="1:6">
      <c r="A41" s="1171"/>
      <c r="B41" s="618" t="s">
        <v>561</v>
      </c>
      <c r="E41" s="619"/>
      <c r="F41" s="620" t="s">
        <v>576</v>
      </c>
    </row>
    <row r="42" spans="1:6">
      <c r="A42" s="1171">
        <v>8</v>
      </c>
      <c r="B42" s="617" t="s">
        <v>568</v>
      </c>
      <c r="E42" s="619">
        <v>8</v>
      </c>
      <c r="F42" s="619" t="s">
        <v>568</v>
      </c>
    </row>
    <row r="43" spans="1:6">
      <c r="A43" s="1171"/>
      <c r="B43" s="618" t="s">
        <v>561</v>
      </c>
      <c r="E43" s="619"/>
      <c r="F43" s="620" t="s">
        <v>577</v>
      </c>
    </row>
    <row r="44" spans="1:6" ht="27.6">
      <c r="A44" s="1171">
        <v>9</v>
      </c>
      <c r="B44" s="617" t="s">
        <v>569</v>
      </c>
      <c r="E44" s="619">
        <v>9</v>
      </c>
      <c r="F44" s="619" t="s">
        <v>569</v>
      </c>
    </row>
    <row r="45" spans="1:6" ht="27.6">
      <c r="A45" s="1171"/>
      <c r="B45" s="618" t="s">
        <v>561</v>
      </c>
      <c r="E45" s="619"/>
      <c r="F45" s="620" t="s">
        <v>578</v>
      </c>
    </row>
    <row r="46" spans="1:6">
      <c r="A46" s="616"/>
    </row>
  </sheetData>
  <mergeCells count="15">
    <mergeCell ref="A25:F25"/>
    <mergeCell ref="A1:G3"/>
    <mergeCell ref="A42:A43"/>
    <mergeCell ref="A44:A45"/>
    <mergeCell ref="B26:B27"/>
    <mergeCell ref="A28:A29"/>
    <mergeCell ref="A30:A31"/>
    <mergeCell ref="A32:A33"/>
    <mergeCell ref="A7:G7"/>
    <mergeCell ref="A34:A35"/>
    <mergeCell ref="A36:A37"/>
    <mergeCell ref="A38:A39"/>
    <mergeCell ref="A40:A41"/>
    <mergeCell ref="A4:G4"/>
    <mergeCell ref="A5:G5"/>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4C006BC25764F5459C2E47466E46253E" ma:contentTypeVersion="10" ma:contentTypeDescription="Создание документа." ma:contentTypeScope="" ma:versionID="4a56d67c814dcecda70da4ce3c6fc426">
  <xsd:schema xmlns:xsd="http://www.w3.org/2001/XMLSchema" xmlns:xs="http://www.w3.org/2001/XMLSchema" xmlns:p="http://schemas.microsoft.com/office/2006/metadata/properties" xmlns:ns2="16756f39-29fc-46c1-921d-e3b78cf26ad5" targetNamespace="http://schemas.microsoft.com/office/2006/metadata/properties" ma:root="true" ma:fieldsID="acf29c5c0bfa3d013316c15518a46415" ns2:_="">
    <xsd:import namespace="16756f39-29fc-46c1-921d-e3b78cf26a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756f39-29fc-46c1-921d-e3b78cf26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051E40-3528-47D6-A1CF-994CEEFF2459}">
  <ds:schemaRefs>
    <ds:schemaRef ds:uri="http://schemas.microsoft.com/office/2006/documentManagement/types"/>
    <ds:schemaRef ds:uri="http://purl.org/dc/dcmitype/"/>
    <ds:schemaRef ds:uri="http://schemas.microsoft.com/office/infopath/2007/PartnerControls"/>
    <ds:schemaRef ds:uri="http://purl.org/dc/terms/"/>
    <ds:schemaRef ds:uri="16756f39-29fc-46c1-921d-e3b78cf26ad5"/>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A019CE6-73A4-4165-A620-24D09C00FB87}">
  <ds:schemaRefs>
    <ds:schemaRef ds:uri="http://schemas.microsoft.com/sharepoint/v3/contenttype/forms"/>
  </ds:schemaRefs>
</ds:datastoreItem>
</file>

<file path=customXml/itemProps3.xml><?xml version="1.0" encoding="utf-8"?>
<ds:datastoreItem xmlns:ds="http://schemas.openxmlformats.org/officeDocument/2006/customXml" ds:itemID="{F105A7EC-3EF4-4928-83B9-62E24B765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756f39-29fc-46c1-921d-e3b78cf26a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ФП</vt:lpstr>
      <vt:lpstr>Банки</vt:lpstr>
      <vt:lpstr>ФР</vt:lpstr>
      <vt:lpstr>ИИС </vt:lpstr>
      <vt:lpstr>СО</vt:lpstr>
      <vt:lpstr>Налоги</vt:lpstr>
      <vt:lpstr>Пенсии </vt:lpstr>
      <vt:lpstr>Права</vt:lpstr>
    </vt:vector>
  </TitlesOfParts>
  <Manager>П.Э. Кирюхин</Manager>
  <Company>АНО "ИДПО МФЦ"</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Примеры расчетных задач</dc:title>
  <dc:creator>ЕГ</dc:creator>
  <cp:lastModifiedBy>Евгений Григорьев</cp:lastModifiedBy>
  <cp:lastPrinted>2019-02-03T17:31:12Z</cp:lastPrinted>
  <dcterms:created xsi:type="dcterms:W3CDTF">2018-10-06T12:20:32Z</dcterms:created>
  <dcterms:modified xsi:type="dcterms:W3CDTF">2021-04-02T11:19:12Z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0x0101004C006BC25764F5459C2E47466E46253E</vt:lpwstr>
  </property>
</Properties>
</file>